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externalLinks/externalLink9.xml" ContentType="application/vnd.openxmlformats-officedocument.spreadsheetml.externalLink+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comments16.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comments14.xml" ContentType="application/vnd.openxmlformats-officedocument.spreadsheetml.comments+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comments12.xml" ContentType="application/vnd.openxmlformats-officedocument.spreadsheetml.comment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comments10.xml" ContentType="application/vnd.openxmlformats-officedocument.spreadsheetml.comment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externalLinks/externalLink8.xml" ContentType="application/vnd.openxmlformats-officedocument.spreadsheetml.externalLink+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drawings/drawing1.xml" ContentType="application/vnd.openxmlformats-officedocument.drawing+xml"/>
  <Override PartName="/xl/comments17.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Override PartName="/xl/externalLinks/externalLink1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comments13.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comments11.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comments6.xml" ContentType="application/vnd.openxmlformats-officedocument.spreadsheetml.comments+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1160" tabRatio="726" firstSheet="29" activeTab="29"/>
  </bookViews>
  <sheets>
    <sheet name="1機關數-OK" sheetId="257" r:id="rId1"/>
    <sheet name="2人數-OK" sheetId="258" r:id="rId2"/>
    <sheet name="2人數性別附表-按政府別" sheetId="237" r:id="rId3"/>
    <sheet name="2人數性別附表-按身分別" sheetId="238" r:id="rId4"/>
    <sheet name="3歷年退休-OK" sheetId="169" r:id="rId5"/>
    <sheet name="4歷年撫卹-OK" sheetId="170" r:id="rId6"/>
    <sheet name="5歷年離退-OK" sheetId="268" r:id="rId7"/>
    <sheet name="6歷年退離(政)-OK" sheetId="172" r:id="rId8"/>
    <sheet name="7歷年退離(公)-OK" sheetId="173" r:id="rId9"/>
    <sheet name="8歷年退離(教)-OK" sheetId="174" r:id="rId10"/>
    <sheet name="9歷年退離(軍)-OK" sheetId="175" r:id="rId11"/>
    <sheet name="10當年退離(政)-性別" sheetId="176" r:id="rId12"/>
    <sheet name="11當年退離(公)-性別" sheetId="273" r:id="rId13"/>
    <sheet name="12當年退離(教)-性別" sheetId="178" r:id="rId14"/>
    <sheet name="13當年退休-性別" sheetId="179" r:id="rId15"/>
    <sheet name="14退休(政)-性別" sheetId="180" r:id="rId16"/>
    <sheet name="15退休(公)-性別" sheetId="181" r:id="rId17"/>
    <sheet name="16退休(教)-性別" sheetId="182" r:id="rId18"/>
    <sheet name="17退伍(軍)-性別" sheetId="183" r:id="rId19"/>
    <sheet name="18當年撫卹(總)-性別" sheetId="184" r:id="rId20"/>
    <sheet name="19撫卹(政)-性別" sheetId="185" r:id="rId21"/>
    <sheet name="20撫卹(公)-性別" sheetId="186" r:id="rId22"/>
    <sheet name="21撫卹(教)-性別" sheetId="187" r:id="rId23"/>
    <sheet name="22撫卹(軍)-性別" sheetId="188" r:id="rId24"/>
    <sheet name="23當年離退-性別" sheetId="269" r:id="rId25"/>
    <sheet name="24退休平均俸額-性別" sheetId="190" r:id="rId26"/>
    <sheet name="25撫卹平均俸額-性別" sheetId="191" r:id="rId27"/>
    <sheet name="26參加者平均俸額-OK" sheetId="192" r:id="rId28"/>
    <sheet name="27平均俸額(總表)-OK" sheetId="193" r:id="rId29"/>
    <sheet name="28平均俸額(一次退)-OK" sheetId="194" r:id="rId30"/>
    <sheet name="29平均俸額(月退)-OK" sheetId="195" r:id="rId31"/>
    <sheet name="30退休平均年齡-OK" sheetId="196" r:id="rId32"/>
    <sheet name="31平均年齡(政)-OK" sheetId="197" r:id="rId33"/>
    <sheet name="32平均年齡(公)-OK" sheetId="198" r:id="rId34"/>
    <sheet name="33平均年齡(教)-OK" sheetId="199" r:id="rId35"/>
    <sheet name="34平均年齡(軍)-OK" sheetId="200" r:id="rId36"/>
    <sheet name="35一次撫慰金人數-OK" sheetId="201" r:id="rId37"/>
    <sheet name="36配偶平均年齡-OK" sheetId="274" r:id="rId38"/>
    <sheet name="37父母平均年齡-OK" sheetId="271" r:id="rId39"/>
    <sheet name="38子女平均年齡-OK" sheetId="272" r:id="rId40"/>
    <sheet name="39作業收支(累計)-OK" sheetId="239" r:id="rId41"/>
    <sheet name="40支出(政)(政府別)-OK" sheetId="40" r:id="rId42"/>
    <sheet name="41支出(公)(政府別)-OK" sheetId="41" r:id="rId43"/>
    <sheet name="42支出(教)(政府別)" sheetId="42" r:id="rId44"/>
    <sheet name="43支出(總)" sheetId="240" r:id="rId45"/>
    <sheet name="44支出(政)" sheetId="241" r:id="rId46"/>
    <sheet name="45支出(公)" sheetId="242" r:id="rId47"/>
    <sheet name="46支出(教)-OK  " sheetId="243" r:id="rId48"/>
    <sheet name="47支出(軍)-OK" sheetId="244" r:id="rId49"/>
    <sheet name="48定撥(歷年)o " sheetId="245" r:id="rId50"/>
    <sheet name="49定撥(當年度)o" sheetId="246" r:id="rId51"/>
    <sheet name="50規畫表-OK" sheetId="247" r:id="rId52"/>
    <sheet name="51規畫比較表-OK" sheetId="248" r:id="rId53"/>
    <sheet name="52運用收益 (含實際)-OK " sheetId="249" r:id="rId54"/>
    <sheet name="53平衡表-OK " sheetId="250" r:id="rId55"/>
    <sheet name="54資產明細-OK " sheetId="251" r:id="rId56"/>
    <sheet name="55收支表-1" sheetId="252" r:id="rId57"/>
    <sheet name="56預決算-OK " sheetId="253" r:id="rId58"/>
    <sheet name="57委託人權益-OK" sheetId="254" r:id="rId59"/>
    <sheet name="附錄1提撥進度表-OK" sheetId="259" r:id="rId60"/>
    <sheet name="精算基礎(1)-OK" sheetId="260" r:id="rId61"/>
    <sheet name="精算基礎(2)-OK" sheetId="261" r:id="rId62"/>
    <sheet name="附錄2國內委託經營(彙總)-OK" sheetId="255" r:id="rId63"/>
    <sheet name="附錄3國外委託經營(彙總)-OK" sheetId="256" r:id="rId64"/>
    <sheet name="附錄4行政經費-OK" sheetId="262" r:id="rId65"/>
    <sheet name="附錄5員額配置-OK" sheetId="263" r:id="rId66"/>
    <sheet name="附錄6教育程度-OK" sheetId="264" r:id="rId67"/>
    <sheet name="附錄7考試類別-0" sheetId="265" r:id="rId68"/>
    <sheet name="附錄8年齡分布-OK" sheetId="266" r:id="rId69"/>
    <sheet name="附錄9任職年資-OK" sheetId="267" r:id="rId70"/>
  </sheets>
  <externalReferences>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OLE_LINK7" localSheetId="62">'附錄2國內委託經營(彙總)-OK'!#REF!</definedName>
    <definedName name="OLE_LINK7" localSheetId="63">'附錄3國外委託經營(彙總)-OK'!#REF!</definedName>
    <definedName name="_xlnm.Print_Area" localSheetId="11">'10當年退離(政)-性別'!$A$1:$N$21</definedName>
    <definedName name="_xlnm.Print_Area" localSheetId="12">'11當年退離(公)-性別'!$A$1:$O$24</definedName>
    <definedName name="_xlnm.Print_Area" localSheetId="13">'12當年退離(教)-性別'!$A$1:$O$18</definedName>
    <definedName name="_xlnm.Print_Area" localSheetId="14">'13當年退休-性別'!$A$1:$G$57</definedName>
    <definedName name="_xlnm.Print_Area" localSheetId="15">'14退休(政)-性別'!$A$1:$E$30</definedName>
    <definedName name="_xlnm.Print_Area" localSheetId="16">'15退休(公)-性別'!$A$1:$G$52</definedName>
    <definedName name="_xlnm.Print_Area" localSheetId="17">'16退休(教)-性別'!$A$1:$G$52</definedName>
    <definedName name="_xlnm.Print_Area" localSheetId="18">'17退伍(軍)-性別'!$A$1:$D$59</definedName>
    <definedName name="_xlnm.Print_Area" localSheetId="19">'18當年撫卹(總)-性別'!$A$1:$H$18</definedName>
    <definedName name="_xlnm.Print_Area" localSheetId="20">'19撫卹(政)-性別'!$A$1:$H$18</definedName>
    <definedName name="_xlnm.Print_Area" localSheetId="0">'1機關數-OK'!$A$1:$G$22</definedName>
    <definedName name="_xlnm.Print_Area" localSheetId="21">'20撫卹(公)-性別'!$A$1:$H$18</definedName>
    <definedName name="_xlnm.Print_Area" localSheetId="22">'21撫卹(教)-性別'!$A$1:$H$18</definedName>
    <definedName name="_xlnm.Print_Area" localSheetId="23">'22撫卹(軍)-性別'!$A$1:$H$18</definedName>
    <definedName name="_xlnm.Print_Area" localSheetId="24">'23當年離退-性別'!$A$1:$P$36</definedName>
    <definedName name="_xlnm.Print_Area" localSheetId="25">'24退休平均俸額-性別'!$A$1:$I$21</definedName>
    <definedName name="_xlnm.Print_Area" localSheetId="26">'25撫卹平均俸額-性別'!$A$1:$I$21</definedName>
    <definedName name="_xlnm.Print_Area" localSheetId="27">'26參加者平均俸額-OK'!$A$1:$I$16</definedName>
    <definedName name="_xlnm.Print_Area" localSheetId="28">'27平均俸額(總表)-OK'!$A$1:$I$17</definedName>
    <definedName name="_xlnm.Print_Area" localSheetId="29">'28平均俸額(一次退)-OK'!$A$1:$I$17</definedName>
    <definedName name="_xlnm.Print_Area" localSheetId="30">'29平均俸額(月退)-OK'!$A$1:$I$17</definedName>
    <definedName name="_xlnm.Print_Area" localSheetId="1">'2人數-OK'!$A$1:$Y$21</definedName>
    <definedName name="_xlnm.Print_Area" localSheetId="3">'2人數性別附表-按身分別'!$A$1:$S$21</definedName>
    <definedName name="_xlnm.Print_Area" localSheetId="2">'2人數性別附表-按政府別'!$A$1:$Y$21</definedName>
    <definedName name="_xlnm.Print_Area" localSheetId="31">'30退休平均年齡-OK'!$A$1:$G$17</definedName>
    <definedName name="_xlnm.Print_Area" localSheetId="32">'31平均年齡(政)-OK'!$A$1:$E$16</definedName>
    <definedName name="_xlnm.Print_Area" localSheetId="33">'32平均年齡(公)-OK'!$A$1:$G$16</definedName>
    <definedName name="_xlnm.Print_Area" localSheetId="34">'33平均年齡(教)-OK'!$A$1:$G$16</definedName>
    <definedName name="_xlnm.Print_Area" localSheetId="35">'34平均年齡(軍)-OK'!$A$1:$D$16</definedName>
    <definedName name="_xlnm.Print_Area" localSheetId="36">'35一次撫慰金人數-OK'!$A$1:$E$15</definedName>
    <definedName name="_xlnm.Print_Area" localSheetId="37">'36配偶平均年齡-OK'!$A$1:$I$19</definedName>
    <definedName name="_xlnm.Print_Area" localSheetId="38">'37父母平均年齡-OK'!$A$1:$I$19</definedName>
    <definedName name="_xlnm.Print_Area" localSheetId="39">'38子女平均年齡-OK'!$A$1:$I$19</definedName>
    <definedName name="_xlnm.Print_Area" localSheetId="40">'39作業收支(累計)-OK'!$A$1:$U$17</definedName>
    <definedName name="_xlnm.Print_Area" localSheetId="4">'3歷年退休-OK'!$A$1:$G$17</definedName>
    <definedName name="_xlnm.Print_Area" localSheetId="41">'40支出(政)(政府別)-OK'!$A$1:$Q$11</definedName>
    <definedName name="_xlnm.Print_Area" localSheetId="42">'41支出(公)(政府別)-OK'!$A$1:$Q$11</definedName>
    <definedName name="_xlnm.Print_Area" localSheetId="43">'42支出(教)(政府別)'!$A$1:$Q$10</definedName>
    <definedName name="_xlnm.Print_Area" localSheetId="44">'43支出(總)'!$A$1:$Q$16</definedName>
    <definedName name="_xlnm.Print_Area" localSheetId="45">'44支出(政)'!$A$1:$Q$16</definedName>
    <definedName name="_xlnm.Print_Area" localSheetId="46">'45支出(公)'!$A$1:$Q$16</definedName>
    <definedName name="_xlnm.Print_Area" localSheetId="47">'46支出(教)-OK  '!$A$1:$Q$16</definedName>
    <definedName name="_xlnm.Print_Area" localSheetId="48">'47支出(軍)-OK'!$A$1:$O$16</definedName>
    <definedName name="_xlnm.Print_Area" localSheetId="49">'48定撥(歷年)o '!$A$1:$L$22</definedName>
    <definedName name="_xlnm.Print_Area" localSheetId="50">'49定撥(當年度)o'!$A$1:$K$12</definedName>
    <definedName name="_xlnm.Print_Area" localSheetId="5">'4歷年撫卹-OK'!$A$1:$H$17</definedName>
    <definedName name="_xlnm.Print_Area" localSheetId="51">'50規畫表-OK'!$A$1:$U$26</definedName>
    <definedName name="_xlnm.Print_Area" localSheetId="52">'51規畫比較表-OK'!$A$1:$K$23</definedName>
    <definedName name="_xlnm.Print_Area" localSheetId="53">'52運用收益 (含實際)-OK '!$A$1:$L$22</definedName>
    <definedName name="_xlnm.Print_Area" localSheetId="54">'53平衡表-OK '!$A$1:$P$29</definedName>
    <definedName name="_xlnm.Print_Area" localSheetId="55">'54資產明細-OK '!$A$1:$L$22</definedName>
    <definedName name="_xlnm.Print_Area" localSheetId="56">'55收支表-1'!$A$1:$Q$21</definedName>
    <definedName name="_xlnm.Print_Area" localSheetId="57">'56預決算-OK '!$A$1:$O$25</definedName>
    <definedName name="_xlnm.Print_Area" localSheetId="58">'57委託人權益-OK'!$A$1:$Z$26</definedName>
    <definedName name="_xlnm.Print_Area" localSheetId="6">'5歷年離退-OK'!$A$1:$D$17</definedName>
    <definedName name="_xlnm.Print_Area" localSheetId="7">'6歷年退離(政)-OK'!$A$1:$N$18</definedName>
    <definedName name="_xlnm.Print_Area" localSheetId="8">'7歷年退離(公)-OK'!$A$1:$O$18</definedName>
    <definedName name="_xlnm.Print_Area" localSheetId="9">'8歷年退離(教)-OK'!$A$1:$O$18</definedName>
    <definedName name="_xlnm.Print_Area" localSheetId="10">'9歷年退離(軍)-OK'!$A$1:$M$18</definedName>
    <definedName name="_xlnm.Print_Area" localSheetId="59">'附錄1提撥進度表-OK'!$A$1:$H$39</definedName>
    <definedName name="_xlnm.Print_Area" localSheetId="62">'附錄2國內委託經營(彙總)-OK'!$A$1:$H$7</definedName>
    <definedName name="_xlnm.Print_Area" localSheetId="63">'附錄3國外委託經營(彙總)-OK'!$A$1:$J$18</definedName>
    <definedName name="_xlnm.Print_Area" localSheetId="64">'附錄4行政經費-OK'!$A$1:$C$20</definedName>
    <definedName name="_xlnm.Print_Area" localSheetId="65">'附錄5員額配置-OK'!$A$1:$D$20</definedName>
    <definedName name="_xlnm.Print_Area" localSheetId="66">'附錄6教育程度-OK'!$A$1:$I$8</definedName>
    <definedName name="_xlnm.Print_Area" localSheetId="67">'附錄7考試類別-0'!$A$1:$J$20</definedName>
    <definedName name="_xlnm.Print_Area" localSheetId="68">'附錄8年齡分布-OK'!$A$1:$E$15</definedName>
    <definedName name="_xlnm.Print_Area" localSheetId="69">'附錄9任職年資-OK'!$A$1:$E$12</definedName>
    <definedName name="_xlnm.Print_Titles" localSheetId="14">'13當年退休-性別'!$1:$4</definedName>
    <definedName name="_xlnm.Print_Titles" localSheetId="16">'15退休(公)-性別'!$1:$4</definedName>
    <definedName name="_xlnm.Print_Titles" localSheetId="17">'16退休(教)-性別'!$1:$4</definedName>
    <definedName name="_xlnm.Print_Titles" localSheetId="18">'17退伍(軍)-性別'!$1:$4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42"/>
  <c r="C28" i="254"/>
  <c r="O6" i="191" l="1"/>
  <c r="N6"/>
  <c r="M12"/>
  <c r="L12"/>
  <c r="M9"/>
  <c r="L9"/>
  <c r="M6"/>
  <c r="L6"/>
  <c r="K18"/>
  <c r="J18"/>
  <c r="J15"/>
  <c r="K15"/>
  <c r="K12"/>
  <c r="J12"/>
  <c r="K9"/>
  <c r="J9"/>
  <c r="K6"/>
  <c r="J6"/>
  <c r="O6" i="190" l="1"/>
  <c r="N6"/>
  <c r="M12"/>
  <c r="L12"/>
  <c r="M9"/>
  <c r="L9"/>
  <c r="M6"/>
  <c r="L6"/>
  <c r="K18"/>
  <c r="J18"/>
  <c r="K15"/>
  <c r="J15"/>
  <c r="K12"/>
  <c r="J12"/>
  <c r="K9"/>
  <c r="J9"/>
  <c r="J6"/>
  <c r="K6"/>
  <c r="B38" i="269"/>
  <c r="C38"/>
  <c r="D38"/>
  <c r="E38"/>
  <c r="F38"/>
  <c r="G38"/>
  <c r="H38"/>
  <c r="I38"/>
  <c r="J38"/>
  <c r="K38"/>
  <c r="L38"/>
  <c r="M38"/>
  <c r="N38"/>
  <c r="O38"/>
  <c r="P38"/>
  <c r="B39"/>
  <c r="C39"/>
  <c r="D39"/>
  <c r="E39"/>
  <c r="F39"/>
  <c r="G39"/>
  <c r="H39"/>
  <c r="I39"/>
  <c r="J39"/>
  <c r="K39"/>
  <c r="L39"/>
  <c r="M39"/>
  <c r="N39"/>
  <c r="O39"/>
  <c r="P39"/>
  <c r="B40"/>
  <c r="C40"/>
  <c r="D40"/>
  <c r="E40"/>
  <c r="F40"/>
  <c r="G40"/>
  <c r="H40"/>
  <c r="I40"/>
  <c r="J40"/>
  <c r="K40"/>
  <c r="L40"/>
  <c r="M40"/>
  <c r="N40"/>
  <c r="O40"/>
  <c r="P40"/>
  <c r="B41"/>
  <c r="C41"/>
  <c r="D41"/>
  <c r="E41"/>
  <c r="F41"/>
  <c r="G41"/>
  <c r="H41"/>
  <c r="I41"/>
  <c r="J41"/>
  <c r="K41"/>
  <c r="L41"/>
  <c r="M41"/>
  <c r="N41"/>
  <c r="O41"/>
  <c r="P41"/>
  <c r="B42"/>
  <c r="C42"/>
  <c r="D42"/>
  <c r="E42"/>
  <c r="F42"/>
  <c r="G42"/>
  <c r="H42"/>
  <c r="I42"/>
  <c r="J42"/>
  <c r="K42"/>
  <c r="L42"/>
  <c r="M42"/>
  <c r="N42"/>
  <c r="O42"/>
  <c r="P42"/>
  <c r="B43"/>
  <c r="C43"/>
  <c r="D43"/>
  <c r="E43"/>
  <c r="F43"/>
  <c r="G43"/>
  <c r="H43"/>
  <c r="I43"/>
  <c r="J43"/>
  <c r="K43"/>
  <c r="L43"/>
  <c r="M43"/>
  <c r="N43"/>
  <c r="O43"/>
  <c r="P43"/>
  <c r="B44"/>
  <c r="C44"/>
  <c r="D44"/>
  <c r="E44"/>
  <c r="F44"/>
  <c r="G44"/>
  <c r="H44"/>
  <c r="I44"/>
  <c r="J44"/>
  <c r="K44"/>
  <c r="L44"/>
  <c r="M44"/>
  <c r="N44"/>
  <c r="O44"/>
  <c r="P44"/>
  <c r="B45"/>
  <c r="C45"/>
  <c r="D45"/>
  <c r="E45"/>
  <c r="F45"/>
  <c r="G45"/>
  <c r="H45"/>
  <c r="I45"/>
  <c r="J45"/>
  <c r="K45"/>
  <c r="L45"/>
  <c r="M45"/>
  <c r="N45"/>
  <c r="O45"/>
  <c r="P45"/>
  <c r="B46"/>
  <c r="C46"/>
  <c r="D46"/>
  <c r="E46"/>
  <c r="F46"/>
  <c r="G46"/>
  <c r="H46"/>
  <c r="I46"/>
  <c r="J46"/>
  <c r="K46"/>
  <c r="L46"/>
  <c r="M46"/>
  <c r="N46"/>
  <c r="O46"/>
  <c r="P46"/>
  <c r="B47"/>
  <c r="C47"/>
  <c r="D47"/>
  <c r="E47"/>
  <c r="F47"/>
  <c r="G47"/>
  <c r="H47"/>
  <c r="I47"/>
  <c r="J47"/>
  <c r="K47"/>
  <c r="L47"/>
  <c r="M47"/>
  <c r="N47"/>
  <c r="O47"/>
  <c r="P47"/>
  <c r="B48"/>
  <c r="C48"/>
  <c r="D48"/>
  <c r="E48"/>
  <c r="F48"/>
  <c r="G48"/>
  <c r="H48"/>
  <c r="I48"/>
  <c r="J48"/>
  <c r="K48"/>
  <c r="L48"/>
  <c r="M48"/>
  <c r="N48"/>
  <c r="O48"/>
  <c r="P48"/>
  <c r="B49"/>
  <c r="C49"/>
  <c r="D49"/>
  <c r="E49"/>
  <c r="F49"/>
  <c r="G49"/>
  <c r="H49"/>
  <c r="I49"/>
  <c r="J49"/>
  <c r="K49"/>
  <c r="L49"/>
  <c r="M49"/>
  <c r="N49"/>
  <c r="O49"/>
  <c r="P49"/>
  <c r="B50"/>
  <c r="C50"/>
  <c r="D50"/>
  <c r="E50"/>
  <c r="F50"/>
  <c r="G50"/>
  <c r="H50"/>
  <c r="I50"/>
  <c r="J50"/>
  <c r="K50"/>
  <c r="L50"/>
  <c r="M50"/>
  <c r="N50"/>
  <c r="O50"/>
  <c r="P50"/>
  <c r="B51"/>
  <c r="C51"/>
  <c r="D51"/>
  <c r="E51"/>
  <c r="F51"/>
  <c r="G51"/>
  <c r="H51"/>
  <c r="I51"/>
  <c r="J51"/>
  <c r="K51"/>
  <c r="L51"/>
  <c r="M51"/>
  <c r="N51"/>
  <c r="O51"/>
  <c r="P51"/>
  <c r="B52"/>
  <c r="C52"/>
  <c r="D52"/>
  <c r="E52"/>
  <c r="F52"/>
  <c r="G52"/>
  <c r="H52"/>
  <c r="I52"/>
  <c r="J52"/>
  <c r="K52"/>
  <c r="L52"/>
  <c r="M52"/>
  <c r="N52"/>
  <c r="O52"/>
  <c r="P52"/>
  <c r="B53"/>
  <c r="C53"/>
  <c r="D53"/>
  <c r="E53"/>
  <c r="F53"/>
  <c r="G53"/>
  <c r="H53"/>
  <c r="I53"/>
  <c r="J53"/>
  <c r="K53"/>
  <c r="L53"/>
  <c r="M53"/>
  <c r="N53"/>
  <c r="O53"/>
  <c r="P53"/>
  <c r="B54"/>
  <c r="C54"/>
  <c r="D54"/>
  <c r="E54"/>
  <c r="F54"/>
  <c r="G54"/>
  <c r="H54"/>
  <c r="I54"/>
  <c r="J54"/>
  <c r="K54"/>
  <c r="L54"/>
  <c r="M54"/>
  <c r="N54"/>
  <c r="O54"/>
  <c r="P54"/>
  <c r="B55"/>
  <c r="C55"/>
  <c r="D55"/>
  <c r="E55"/>
  <c r="F55"/>
  <c r="G55"/>
  <c r="H55"/>
  <c r="I55"/>
  <c r="J55"/>
  <c r="K55"/>
  <c r="L55"/>
  <c r="M55"/>
  <c r="N55"/>
  <c r="O55"/>
  <c r="P55"/>
  <c r="B56"/>
  <c r="C56"/>
  <c r="D56"/>
  <c r="E56"/>
  <c r="F56"/>
  <c r="G56"/>
  <c r="H56"/>
  <c r="I56"/>
  <c r="J56"/>
  <c r="K56"/>
  <c r="L56"/>
  <c r="M56"/>
  <c r="N56"/>
  <c r="O56"/>
  <c r="P56"/>
  <c r="B57"/>
  <c r="C57"/>
  <c r="D57"/>
  <c r="E57"/>
  <c r="F57"/>
  <c r="G57"/>
  <c r="H57"/>
  <c r="I57"/>
  <c r="J57"/>
  <c r="K57"/>
  <c r="L57"/>
  <c r="M57"/>
  <c r="N57"/>
  <c r="O57"/>
  <c r="P57"/>
  <c r="B58"/>
  <c r="C58"/>
  <c r="D58"/>
  <c r="E58"/>
  <c r="F58"/>
  <c r="G58"/>
  <c r="H58"/>
  <c r="I58"/>
  <c r="J58"/>
  <c r="K58"/>
  <c r="L58"/>
  <c r="M58"/>
  <c r="N58"/>
  <c r="O58"/>
  <c r="P58"/>
  <c r="B59"/>
  <c r="C59"/>
  <c r="D59"/>
  <c r="E59"/>
  <c r="F59"/>
  <c r="G59"/>
  <c r="H59"/>
  <c r="I59"/>
  <c r="J59"/>
  <c r="K59"/>
  <c r="L59"/>
  <c r="M59"/>
  <c r="N59"/>
  <c r="O59"/>
  <c r="P59"/>
  <c r="B60"/>
  <c r="C60"/>
  <c r="D60"/>
  <c r="E60"/>
  <c r="F60"/>
  <c r="G60"/>
  <c r="H60"/>
  <c r="I60"/>
  <c r="J60"/>
  <c r="K60"/>
  <c r="L60"/>
  <c r="M60"/>
  <c r="N60"/>
  <c r="O60"/>
  <c r="P60"/>
  <c r="B61"/>
  <c r="C61"/>
  <c r="D61"/>
  <c r="E61"/>
  <c r="F61"/>
  <c r="G61"/>
  <c r="H61"/>
  <c r="I61"/>
  <c r="J61"/>
  <c r="K61"/>
  <c r="L61"/>
  <c r="M61"/>
  <c r="N61"/>
  <c r="O61"/>
  <c r="P61"/>
  <c r="B62"/>
  <c r="C62"/>
  <c r="D62"/>
  <c r="E62"/>
  <c r="F62"/>
  <c r="G62"/>
  <c r="H62"/>
  <c r="I62"/>
  <c r="J62"/>
  <c r="K62"/>
  <c r="L62"/>
  <c r="M62"/>
  <c r="N62"/>
  <c r="O62"/>
  <c r="P62"/>
  <c r="B63"/>
  <c r="C63"/>
  <c r="D63"/>
  <c r="E63"/>
  <c r="F63"/>
  <c r="G63"/>
  <c r="H63"/>
  <c r="I63"/>
  <c r="J63"/>
  <c r="K63"/>
  <c r="L63"/>
  <c r="M63"/>
  <c r="N63"/>
  <c r="O63"/>
  <c r="P63"/>
  <c r="B64"/>
  <c r="C64"/>
  <c r="D64"/>
  <c r="E64"/>
  <c r="F64"/>
  <c r="G64"/>
  <c r="H64"/>
  <c r="I64"/>
  <c r="J64"/>
  <c r="K64"/>
  <c r="L64"/>
  <c r="M64"/>
  <c r="N64"/>
  <c r="O64"/>
  <c r="P64"/>
  <c r="B65"/>
  <c r="C65"/>
  <c r="D65"/>
  <c r="E65"/>
  <c r="F65"/>
  <c r="G65"/>
  <c r="H65"/>
  <c r="I65"/>
  <c r="J65"/>
  <c r="K65"/>
  <c r="L65"/>
  <c r="M65"/>
  <c r="N65"/>
  <c r="O65"/>
  <c r="P65"/>
  <c r="C37"/>
  <c r="D37"/>
  <c r="E37"/>
  <c r="F37"/>
  <c r="G37"/>
  <c r="H37"/>
  <c r="I37"/>
  <c r="J37"/>
  <c r="K37"/>
  <c r="L37"/>
  <c r="M37"/>
  <c r="N37"/>
  <c r="O37"/>
  <c r="P37"/>
  <c r="B37"/>
  <c r="AB5"/>
  <c r="AC5"/>
  <c r="AD5"/>
  <c r="AE5"/>
  <c r="AF5"/>
  <c r="S5"/>
  <c r="T5"/>
  <c r="U5"/>
  <c r="V5"/>
  <c r="W5"/>
  <c r="X5"/>
  <c r="Y5"/>
  <c r="Z5"/>
  <c r="AA5"/>
  <c r="R5"/>
  <c r="B20" i="188"/>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B31"/>
  <c r="C31"/>
  <c r="D31"/>
  <c r="E31"/>
  <c r="F31"/>
  <c r="G31"/>
  <c r="H31"/>
  <c r="C19"/>
  <c r="D19"/>
  <c r="E19"/>
  <c r="F19"/>
  <c r="G19"/>
  <c r="H19"/>
  <c r="B19"/>
  <c r="K5"/>
  <c r="L5"/>
  <c r="M5"/>
  <c r="N5"/>
  <c r="O5"/>
  <c r="P5"/>
  <c r="J5"/>
  <c r="B20" i="187"/>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B31"/>
  <c r="C31"/>
  <c r="D31"/>
  <c r="E31"/>
  <c r="F31"/>
  <c r="G31"/>
  <c r="H31"/>
  <c r="C19"/>
  <c r="D19"/>
  <c r="E19"/>
  <c r="F19"/>
  <c r="G19"/>
  <c r="H19"/>
  <c r="B19"/>
  <c r="K5"/>
  <c r="L5"/>
  <c r="M5"/>
  <c r="N5"/>
  <c r="O5"/>
  <c r="P5"/>
  <c r="J5"/>
  <c r="B20" i="186"/>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B31"/>
  <c r="C31"/>
  <c r="D31"/>
  <c r="E31"/>
  <c r="F31"/>
  <c r="G31"/>
  <c r="H31"/>
  <c r="C19"/>
  <c r="D19"/>
  <c r="E19"/>
  <c r="F19"/>
  <c r="G19"/>
  <c r="H19"/>
  <c r="B19"/>
  <c r="K5"/>
  <c r="L5"/>
  <c r="M5"/>
  <c r="N5"/>
  <c r="O5"/>
  <c r="P5"/>
  <c r="J5"/>
  <c r="I5"/>
  <c r="B20" i="185"/>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B31"/>
  <c r="C31"/>
  <c r="D31"/>
  <c r="E31"/>
  <c r="F31"/>
  <c r="G31"/>
  <c r="H31"/>
  <c r="C19"/>
  <c r="D19"/>
  <c r="E19"/>
  <c r="F19"/>
  <c r="G19"/>
  <c r="H19"/>
  <c r="B19"/>
  <c r="K5"/>
  <c r="L5"/>
  <c r="M5"/>
  <c r="N5"/>
  <c r="O5"/>
  <c r="P5"/>
  <c r="J5"/>
  <c r="B61" i="183"/>
  <c r="C61"/>
  <c r="D61"/>
  <c r="B62"/>
  <c r="C62"/>
  <c r="D62"/>
  <c r="B63"/>
  <c r="C63"/>
  <c r="D63"/>
  <c r="B64"/>
  <c r="C64"/>
  <c r="D64"/>
  <c r="B65"/>
  <c r="C65"/>
  <c r="D65"/>
  <c r="B66"/>
  <c r="C66"/>
  <c r="D66"/>
  <c r="B67"/>
  <c r="C67"/>
  <c r="D67"/>
  <c r="B68"/>
  <c r="C68"/>
  <c r="D68"/>
  <c r="B69"/>
  <c r="C69"/>
  <c r="D69"/>
  <c r="B70"/>
  <c r="C70"/>
  <c r="D70"/>
  <c r="B71"/>
  <c r="C71"/>
  <c r="D71"/>
  <c r="B72"/>
  <c r="C72"/>
  <c r="D72"/>
  <c r="B73"/>
  <c r="C73"/>
  <c r="D73"/>
  <c r="B74"/>
  <c r="C74"/>
  <c r="D74"/>
  <c r="B75"/>
  <c r="C75"/>
  <c r="D75"/>
  <c r="B76"/>
  <c r="C76"/>
  <c r="D76"/>
  <c r="B77"/>
  <c r="C77"/>
  <c r="D77"/>
  <c r="B78"/>
  <c r="C78"/>
  <c r="D78"/>
  <c r="B79"/>
  <c r="C79"/>
  <c r="D79"/>
  <c r="B80"/>
  <c r="C80"/>
  <c r="D80"/>
  <c r="B81"/>
  <c r="C81"/>
  <c r="D81"/>
  <c r="B82"/>
  <c r="C82"/>
  <c r="D82"/>
  <c r="B83"/>
  <c r="C83"/>
  <c r="D83"/>
  <c r="B84"/>
  <c r="C84"/>
  <c r="D84"/>
  <c r="B85"/>
  <c r="C85"/>
  <c r="D85"/>
  <c r="B86"/>
  <c r="C86"/>
  <c r="D86"/>
  <c r="B87"/>
  <c r="C87"/>
  <c r="D87"/>
  <c r="B88"/>
  <c r="C88"/>
  <c r="D88"/>
  <c r="B89"/>
  <c r="C89"/>
  <c r="D89"/>
  <c r="B90"/>
  <c r="C90"/>
  <c r="D90"/>
  <c r="B91"/>
  <c r="C91"/>
  <c r="D91"/>
  <c r="B92"/>
  <c r="C92"/>
  <c r="D92"/>
  <c r="B93"/>
  <c r="C93"/>
  <c r="D93"/>
  <c r="B94"/>
  <c r="C94"/>
  <c r="D94"/>
  <c r="B95"/>
  <c r="C95"/>
  <c r="D95"/>
  <c r="B96"/>
  <c r="C96"/>
  <c r="D96"/>
  <c r="B97"/>
  <c r="C97"/>
  <c r="D97"/>
  <c r="B98"/>
  <c r="C98"/>
  <c r="D98"/>
  <c r="B99"/>
  <c r="C99"/>
  <c r="D99"/>
  <c r="B100"/>
  <c r="C100"/>
  <c r="D100"/>
  <c r="B101"/>
  <c r="C101"/>
  <c r="D101"/>
  <c r="B102"/>
  <c r="C102"/>
  <c r="D102"/>
  <c r="B103"/>
  <c r="C103"/>
  <c r="D103"/>
  <c r="B104"/>
  <c r="C104"/>
  <c r="D104"/>
  <c r="B105"/>
  <c r="C105"/>
  <c r="D105"/>
  <c r="B106"/>
  <c r="C106"/>
  <c r="D106"/>
  <c r="B107"/>
  <c r="C107"/>
  <c r="D107"/>
  <c r="C60"/>
  <c r="D60"/>
  <c r="B60"/>
  <c r="G5"/>
  <c r="H5"/>
  <c r="F5"/>
  <c r="B54" i="182"/>
  <c r="C54"/>
  <c r="D54"/>
  <c r="E54"/>
  <c r="F54"/>
  <c r="G54"/>
  <c r="B55"/>
  <c r="C55"/>
  <c r="D55"/>
  <c r="E55"/>
  <c r="F55"/>
  <c r="G55"/>
  <c r="B56"/>
  <c r="C56"/>
  <c r="D56"/>
  <c r="E56"/>
  <c r="F56"/>
  <c r="G56"/>
  <c r="B57"/>
  <c r="C57"/>
  <c r="D57"/>
  <c r="E57"/>
  <c r="F57"/>
  <c r="G57"/>
  <c r="B58"/>
  <c r="C58"/>
  <c r="D58"/>
  <c r="E58"/>
  <c r="F58"/>
  <c r="G58"/>
  <c r="B59"/>
  <c r="C59"/>
  <c r="D59"/>
  <c r="E59"/>
  <c r="F59"/>
  <c r="G59"/>
  <c r="B60"/>
  <c r="C60"/>
  <c r="D60"/>
  <c r="E60"/>
  <c r="F60"/>
  <c r="G60"/>
  <c r="B6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B97"/>
  <c r="C97"/>
  <c r="D97"/>
  <c r="E97"/>
  <c r="F97"/>
  <c r="G97"/>
  <c r="B98"/>
  <c r="C98"/>
  <c r="D98"/>
  <c r="E98"/>
  <c r="F98"/>
  <c r="G98"/>
  <c r="C53"/>
  <c r="D53"/>
  <c r="E53"/>
  <c r="F53"/>
  <c r="G53"/>
  <c r="B53"/>
  <c r="J5"/>
  <c r="K5"/>
  <c r="L5"/>
  <c r="M5"/>
  <c r="N5"/>
  <c r="I5"/>
  <c r="D54" i="181"/>
  <c r="E54"/>
  <c r="F54"/>
  <c r="G54"/>
  <c r="D55"/>
  <c r="E55"/>
  <c r="F55"/>
  <c r="G55"/>
  <c r="D56"/>
  <c r="E56"/>
  <c r="F56"/>
  <c r="G56"/>
  <c r="D57"/>
  <c r="E57"/>
  <c r="F57"/>
  <c r="G57"/>
  <c r="D58"/>
  <c r="E58"/>
  <c r="F58"/>
  <c r="G58"/>
  <c r="D59"/>
  <c r="E59"/>
  <c r="F59"/>
  <c r="G59"/>
  <c r="D60"/>
  <c r="E60"/>
  <c r="F60"/>
  <c r="G60"/>
  <c r="D61"/>
  <c r="E61"/>
  <c r="F61"/>
  <c r="G61"/>
  <c r="D62"/>
  <c r="E62"/>
  <c r="F62"/>
  <c r="G62"/>
  <c r="D63"/>
  <c r="E63"/>
  <c r="F63"/>
  <c r="G63"/>
  <c r="D64"/>
  <c r="E64"/>
  <c r="F64"/>
  <c r="G64"/>
  <c r="D65"/>
  <c r="E65"/>
  <c r="F65"/>
  <c r="G65"/>
  <c r="D66"/>
  <c r="E66"/>
  <c r="F66"/>
  <c r="G66"/>
  <c r="D67"/>
  <c r="E67"/>
  <c r="F67"/>
  <c r="G67"/>
  <c r="D68"/>
  <c r="E68"/>
  <c r="F68"/>
  <c r="G68"/>
  <c r="D69"/>
  <c r="E69"/>
  <c r="F69"/>
  <c r="G69"/>
  <c r="D70"/>
  <c r="E70"/>
  <c r="F70"/>
  <c r="G70"/>
  <c r="D71"/>
  <c r="E71"/>
  <c r="F71"/>
  <c r="G71"/>
  <c r="D72"/>
  <c r="E72"/>
  <c r="F72"/>
  <c r="G72"/>
  <c r="D73"/>
  <c r="E73"/>
  <c r="F73"/>
  <c r="G73"/>
  <c r="D74"/>
  <c r="E74"/>
  <c r="F74"/>
  <c r="G74"/>
  <c r="D75"/>
  <c r="E75"/>
  <c r="F75"/>
  <c r="G75"/>
  <c r="D76"/>
  <c r="E76"/>
  <c r="F76"/>
  <c r="G76"/>
  <c r="D77"/>
  <c r="E77"/>
  <c r="F77"/>
  <c r="G77"/>
  <c r="D78"/>
  <c r="E78"/>
  <c r="F78"/>
  <c r="G78"/>
  <c r="D79"/>
  <c r="E79"/>
  <c r="F79"/>
  <c r="G79"/>
  <c r="D80"/>
  <c r="E80"/>
  <c r="F80"/>
  <c r="G80"/>
  <c r="D81"/>
  <c r="E81"/>
  <c r="F81"/>
  <c r="G81"/>
  <c r="D82"/>
  <c r="E82"/>
  <c r="F82"/>
  <c r="G82"/>
  <c r="D83"/>
  <c r="E83"/>
  <c r="F83"/>
  <c r="G83"/>
  <c r="D84"/>
  <c r="E84"/>
  <c r="F84"/>
  <c r="G84"/>
  <c r="D85"/>
  <c r="E85"/>
  <c r="F85"/>
  <c r="G85"/>
  <c r="D86"/>
  <c r="E86"/>
  <c r="F86"/>
  <c r="G86"/>
  <c r="D87"/>
  <c r="E87"/>
  <c r="F87"/>
  <c r="G87"/>
  <c r="D88"/>
  <c r="E88"/>
  <c r="F88"/>
  <c r="G88"/>
  <c r="D89"/>
  <c r="E89"/>
  <c r="F89"/>
  <c r="G89"/>
  <c r="D90"/>
  <c r="E90"/>
  <c r="F90"/>
  <c r="G90"/>
  <c r="D91"/>
  <c r="E91"/>
  <c r="F91"/>
  <c r="G91"/>
  <c r="D92"/>
  <c r="E92"/>
  <c r="F92"/>
  <c r="G92"/>
  <c r="D93"/>
  <c r="E93"/>
  <c r="F93"/>
  <c r="G93"/>
  <c r="D94"/>
  <c r="E94"/>
  <c r="F94"/>
  <c r="G94"/>
  <c r="D95"/>
  <c r="E95"/>
  <c r="F95"/>
  <c r="G95"/>
  <c r="D96"/>
  <c r="E96"/>
  <c r="F96"/>
  <c r="G96"/>
  <c r="D97"/>
  <c r="E97"/>
  <c r="F97"/>
  <c r="G97"/>
  <c r="D98"/>
  <c r="E98"/>
  <c r="F98"/>
  <c r="G98"/>
  <c r="N5"/>
  <c r="J5"/>
  <c r="K5"/>
  <c r="L5"/>
  <c r="M5"/>
  <c r="I5"/>
  <c r="H5"/>
  <c r="B32" i="180" l="1"/>
  <c r="C32"/>
  <c r="D32"/>
  <c r="E32"/>
  <c r="B33"/>
  <c r="C33"/>
  <c r="D33"/>
  <c r="E33"/>
  <c r="B34"/>
  <c r="C34"/>
  <c r="D34"/>
  <c r="E34"/>
  <c r="B35"/>
  <c r="C35"/>
  <c r="D35"/>
  <c r="E35"/>
  <c r="B36"/>
  <c r="C36"/>
  <c r="D36"/>
  <c r="E36"/>
  <c r="B37"/>
  <c r="C37"/>
  <c r="D37"/>
  <c r="E37"/>
  <c r="B38"/>
  <c r="C38"/>
  <c r="D38"/>
  <c r="E38"/>
  <c r="B39"/>
  <c r="C39"/>
  <c r="D39"/>
  <c r="E39"/>
  <c r="B40"/>
  <c r="C40"/>
  <c r="D40"/>
  <c r="E40"/>
  <c r="B41"/>
  <c r="C41"/>
  <c r="D41"/>
  <c r="E41"/>
  <c r="B42"/>
  <c r="C42"/>
  <c r="D42"/>
  <c r="E42"/>
  <c r="B43"/>
  <c r="C43"/>
  <c r="D43"/>
  <c r="E43"/>
  <c r="B44"/>
  <c r="C44"/>
  <c r="D44"/>
  <c r="E44"/>
  <c r="B45"/>
  <c r="C45"/>
  <c r="D45"/>
  <c r="E45"/>
  <c r="B46"/>
  <c r="C46"/>
  <c r="D46"/>
  <c r="E46"/>
  <c r="B47"/>
  <c r="C47"/>
  <c r="D47"/>
  <c r="E47"/>
  <c r="B48"/>
  <c r="C48"/>
  <c r="D48"/>
  <c r="E48"/>
  <c r="B49"/>
  <c r="C49"/>
  <c r="D49"/>
  <c r="E49"/>
  <c r="B50"/>
  <c r="C50"/>
  <c r="D50"/>
  <c r="E50"/>
  <c r="B51"/>
  <c r="C51"/>
  <c r="D51"/>
  <c r="E51"/>
  <c r="B52"/>
  <c r="C52"/>
  <c r="D52"/>
  <c r="E52"/>
  <c r="B53"/>
  <c r="C53"/>
  <c r="D53"/>
  <c r="E53"/>
  <c r="B54"/>
  <c r="C54"/>
  <c r="D54"/>
  <c r="E54"/>
  <c r="B55"/>
  <c r="C55"/>
  <c r="D55"/>
  <c r="E55"/>
  <c r="C31"/>
  <c r="D31"/>
  <c r="E31"/>
  <c r="B31"/>
  <c r="C54" i="181" l="1"/>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G53" l="1"/>
  <c r="F53"/>
  <c r="E53"/>
  <c r="D53"/>
  <c r="C53" l="1"/>
  <c r="B53"/>
  <c r="H4" i="180" l="1"/>
  <c r="I4"/>
  <c r="J4"/>
  <c r="G4"/>
  <c r="J7" i="274" l="1"/>
  <c r="B20" l="1"/>
  <c r="AD21" i="273"/>
  <c r="AC21"/>
  <c r="AB21"/>
  <c r="AA21"/>
  <c r="Z21"/>
  <c r="Y21"/>
  <c r="X21"/>
  <c r="W21"/>
  <c r="V21"/>
  <c r="U21"/>
  <c r="T21"/>
  <c r="S21"/>
  <c r="R21"/>
  <c r="Q21"/>
  <c r="AD18"/>
  <c r="AC18"/>
  <c r="AB18"/>
  <c r="AA18"/>
  <c r="Z18"/>
  <c r="Y18"/>
  <c r="X18"/>
  <c r="W18"/>
  <c r="V18"/>
  <c r="U18"/>
  <c r="T18"/>
  <c r="S18"/>
  <c r="R18"/>
  <c r="Q18"/>
  <c r="AD15"/>
  <c r="AC15"/>
  <c r="AB15"/>
  <c r="AA15"/>
  <c r="Z15"/>
  <c r="Y15"/>
  <c r="X15"/>
  <c r="W15"/>
  <c r="V15"/>
  <c r="U15"/>
  <c r="T15"/>
  <c r="S15"/>
  <c r="R15"/>
  <c r="Q15"/>
  <c r="AD12"/>
  <c r="AC12"/>
  <c r="AB12"/>
  <c r="AA12"/>
  <c r="Z12"/>
  <c r="Y12"/>
  <c r="X12"/>
  <c r="W12"/>
  <c r="V12"/>
  <c r="U12"/>
  <c r="T12"/>
  <c r="S12"/>
  <c r="R12"/>
  <c r="Q12"/>
  <c r="AD9"/>
  <c r="AC9"/>
  <c r="AB9"/>
  <c r="AA9"/>
  <c r="Z9"/>
  <c r="Y9"/>
  <c r="X9"/>
  <c r="W9"/>
  <c r="V9"/>
  <c r="U9"/>
  <c r="T9"/>
  <c r="S9"/>
  <c r="R9"/>
  <c r="Q9"/>
  <c r="R6"/>
  <c r="S6"/>
  <c r="T6"/>
  <c r="U6"/>
  <c r="V6"/>
  <c r="W6"/>
  <c r="X6"/>
  <c r="Y6"/>
  <c r="Z6"/>
  <c r="AA6"/>
  <c r="AB6"/>
  <c r="AC6"/>
  <c r="AD6"/>
  <c r="Q6"/>
  <c r="O42"/>
  <c r="N42"/>
  <c r="M42"/>
  <c r="K42"/>
  <c r="J42"/>
  <c r="G42"/>
  <c r="F42"/>
  <c r="E42"/>
  <c r="D42"/>
  <c r="O41"/>
  <c r="N41"/>
  <c r="M41"/>
  <c r="K41"/>
  <c r="J41"/>
  <c r="G41"/>
  <c r="F41"/>
  <c r="E41"/>
  <c r="D41"/>
  <c r="C41"/>
  <c r="M40"/>
  <c r="E40"/>
  <c r="O39"/>
  <c r="N39"/>
  <c r="M39"/>
  <c r="L39"/>
  <c r="K39"/>
  <c r="J39"/>
  <c r="G39"/>
  <c r="F39"/>
  <c r="E39"/>
  <c r="D39"/>
  <c r="O38"/>
  <c r="N38"/>
  <c r="M38"/>
  <c r="K38"/>
  <c r="J38"/>
  <c r="G38"/>
  <c r="F38"/>
  <c r="E38"/>
  <c r="D38"/>
  <c r="O36"/>
  <c r="N36"/>
  <c r="M36"/>
  <c r="K36"/>
  <c r="J36"/>
  <c r="G36"/>
  <c r="F36"/>
  <c r="E36"/>
  <c r="D36"/>
  <c r="O35"/>
  <c r="N35"/>
  <c r="M35"/>
  <c r="K35"/>
  <c r="J35"/>
  <c r="G35"/>
  <c r="F35"/>
  <c r="E35"/>
  <c r="D35"/>
  <c r="C35"/>
  <c r="M34"/>
  <c r="E34"/>
  <c r="O33"/>
  <c r="N33"/>
  <c r="M33"/>
  <c r="L33"/>
  <c r="K33"/>
  <c r="J33"/>
  <c r="G33"/>
  <c r="F33"/>
  <c r="E33"/>
  <c r="D33"/>
  <c r="O32"/>
  <c r="N32"/>
  <c r="M32"/>
  <c r="K32"/>
  <c r="J32"/>
  <c r="G32"/>
  <c r="F32"/>
  <c r="E32"/>
  <c r="D32"/>
  <c r="O30"/>
  <c r="N30"/>
  <c r="M30"/>
  <c r="K30"/>
  <c r="J30"/>
  <c r="G30"/>
  <c r="F30"/>
  <c r="E30"/>
  <c r="D30"/>
  <c r="O29"/>
  <c r="N29"/>
  <c r="M29"/>
  <c r="K29"/>
  <c r="J29"/>
  <c r="G29"/>
  <c r="F29"/>
  <c r="E29"/>
  <c r="D29"/>
  <c r="C29"/>
  <c r="M28"/>
  <c r="E28"/>
  <c r="O27"/>
  <c r="K27"/>
  <c r="G27"/>
  <c r="M26"/>
  <c r="E26"/>
  <c r="L23"/>
  <c r="L42" s="1"/>
  <c r="I23"/>
  <c r="I42" s="1"/>
  <c r="H23"/>
  <c r="H42" s="1"/>
  <c r="C23"/>
  <c r="C42" s="1"/>
  <c r="L22"/>
  <c r="L41" s="1"/>
  <c r="I22"/>
  <c r="H22" s="1"/>
  <c r="C22"/>
  <c r="O21"/>
  <c r="O40" s="1"/>
  <c r="N21"/>
  <c r="N40" s="1"/>
  <c r="M21"/>
  <c r="L21"/>
  <c r="L40" s="1"/>
  <c r="K21"/>
  <c r="K40" s="1"/>
  <c r="J21"/>
  <c r="J40" s="1"/>
  <c r="G21"/>
  <c r="G40" s="1"/>
  <c r="F21"/>
  <c r="F40" s="1"/>
  <c r="E21"/>
  <c r="D21"/>
  <c r="D40" s="1"/>
  <c r="C21"/>
  <c r="L20"/>
  <c r="I20"/>
  <c r="I39" s="1"/>
  <c r="H20"/>
  <c r="H39" s="1"/>
  <c r="C20"/>
  <c r="C39" s="1"/>
  <c r="L19"/>
  <c r="L38" s="1"/>
  <c r="I19"/>
  <c r="H19" s="1"/>
  <c r="C19"/>
  <c r="C38" s="1"/>
  <c r="O18"/>
  <c r="O37" s="1"/>
  <c r="N18"/>
  <c r="N37" s="1"/>
  <c r="M18"/>
  <c r="M37" s="1"/>
  <c r="L18"/>
  <c r="L37" s="1"/>
  <c r="K18"/>
  <c r="K37" s="1"/>
  <c r="J18"/>
  <c r="J37" s="1"/>
  <c r="G18"/>
  <c r="G37" s="1"/>
  <c r="F18"/>
  <c r="F37" s="1"/>
  <c r="E18"/>
  <c r="E37" s="1"/>
  <c r="D18"/>
  <c r="D37" s="1"/>
  <c r="C18"/>
  <c r="L17"/>
  <c r="L36" s="1"/>
  <c r="I17"/>
  <c r="I36" s="1"/>
  <c r="H17"/>
  <c r="H36" s="1"/>
  <c r="C17"/>
  <c r="C36" s="1"/>
  <c r="L16"/>
  <c r="L35" s="1"/>
  <c r="I16"/>
  <c r="H16" s="1"/>
  <c r="C16"/>
  <c r="O15"/>
  <c r="O34" s="1"/>
  <c r="N15"/>
  <c r="N34" s="1"/>
  <c r="M15"/>
  <c r="L15"/>
  <c r="L34" s="1"/>
  <c r="K15"/>
  <c r="K34" s="1"/>
  <c r="J15"/>
  <c r="J34" s="1"/>
  <c r="G15"/>
  <c r="G34" s="1"/>
  <c r="F15"/>
  <c r="F34" s="1"/>
  <c r="E15"/>
  <c r="D15"/>
  <c r="D34" s="1"/>
  <c r="C15"/>
  <c r="L14"/>
  <c r="I14"/>
  <c r="I33" s="1"/>
  <c r="H14"/>
  <c r="H33" s="1"/>
  <c r="C14"/>
  <c r="C33" s="1"/>
  <c r="L13"/>
  <c r="L32" s="1"/>
  <c r="I13"/>
  <c r="H13" s="1"/>
  <c r="C13"/>
  <c r="C32" s="1"/>
  <c r="O12"/>
  <c r="O31" s="1"/>
  <c r="N12"/>
  <c r="N31" s="1"/>
  <c r="M12"/>
  <c r="M31" s="1"/>
  <c r="L12"/>
  <c r="L31" s="1"/>
  <c r="K12"/>
  <c r="K31" s="1"/>
  <c r="J12"/>
  <c r="J31" s="1"/>
  <c r="G12"/>
  <c r="G31" s="1"/>
  <c r="F12"/>
  <c r="F31" s="1"/>
  <c r="E12"/>
  <c r="E31" s="1"/>
  <c r="D12"/>
  <c r="D31" s="1"/>
  <c r="C12"/>
  <c r="L11"/>
  <c r="L30" s="1"/>
  <c r="I11"/>
  <c r="I30" s="1"/>
  <c r="H11"/>
  <c r="H30" s="1"/>
  <c r="C11"/>
  <c r="C30" s="1"/>
  <c r="L10"/>
  <c r="L29" s="1"/>
  <c r="I10"/>
  <c r="H10" s="1"/>
  <c r="C10"/>
  <c r="O9"/>
  <c r="O28" s="1"/>
  <c r="N9"/>
  <c r="N28" s="1"/>
  <c r="M9"/>
  <c r="L9"/>
  <c r="L28" s="1"/>
  <c r="K9"/>
  <c r="K28" s="1"/>
  <c r="J9"/>
  <c r="J28" s="1"/>
  <c r="G9"/>
  <c r="G28" s="1"/>
  <c r="F9"/>
  <c r="F28" s="1"/>
  <c r="E9"/>
  <c r="D9"/>
  <c r="D28" s="1"/>
  <c r="C9"/>
  <c r="C28" s="1"/>
  <c r="O8"/>
  <c r="N8"/>
  <c r="N27" s="1"/>
  <c r="M8"/>
  <c r="L8" s="1"/>
  <c r="L27" s="1"/>
  <c r="K8"/>
  <c r="J8"/>
  <c r="J27" s="1"/>
  <c r="G8"/>
  <c r="F8"/>
  <c r="F27" s="1"/>
  <c r="E8"/>
  <c r="E27" s="1"/>
  <c r="D8"/>
  <c r="D27" s="1"/>
  <c r="O7"/>
  <c r="O26" s="1"/>
  <c r="N7"/>
  <c r="N26" s="1"/>
  <c r="M7"/>
  <c r="L7"/>
  <c r="L26" s="1"/>
  <c r="K7"/>
  <c r="K26" s="1"/>
  <c r="J7"/>
  <c r="J26" s="1"/>
  <c r="G7"/>
  <c r="G26" s="1"/>
  <c r="F7"/>
  <c r="F26" s="1"/>
  <c r="E7"/>
  <c r="D7"/>
  <c r="D26" s="1"/>
  <c r="O6"/>
  <c r="O25" s="1"/>
  <c r="N6"/>
  <c r="N25" s="1"/>
  <c r="M6"/>
  <c r="M25" s="1"/>
  <c r="K6"/>
  <c r="K25" s="1"/>
  <c r="J6"/>
  <c r="J25" s="1"/>
  <c r="G6"/>
  <c r="G25" s="1"/>
  <c r="F6"/>
  <c r="F25" s="1"/>
  <c r="E6"/>
  <c r="E25" s="1"/>
  <c r="H32" l="1"/>
  <c r="B13"/>
  <c r="B32" s="1"/>
  <c r="H29"/>
  <c r="B10"/>
  <c r="B29" s="1"/>
  <c r="H35"/>
  <c r="B16"/>
  <c r="B35" s="1"/>
  <c r="H41"/>
  <c r="B22"/>
  <c r="B41" s="1"/>
  <c r="H38"/>
  <c r="B19"/>
  <c r="B38" s="1"/>
  <c r="I6"/>
  <c r="D6"/>
  <c r="L6"/>
  <c r="L25" s="1"/>
  <c r="I7"/>
  <c r="C8"/>
  <c r="I9"/>
  <c r="B11"/>
  <c r="B30" s="1"/>
  <c r="I12"/>
  <c r="B14"/>
  <c r="B33" s="1"/>
  <c r="I15"/>
  <c r="B17"/>
  <c r="B36" s="1"/>
  <c r="I18"/>
  <c r="B20"/>
  <c r="B39" s="1"/>
  <c r="I21"/>
  <c r="B23"/>
  <c r="B42" s="1"/>
  <c r="M27"/>
  <c r="I29"/>
  <c r="C34"/>
  <c r="I35"/>
  <c r="C40"/>
  <c r="I41"/>
  <c r="C31"/>
  <c r="I32"/>
  <c r="C37"/>
  <c r="I38"/>
  <c r="C7"/>
  <c r="I8"/>
  <c r="C26" l="1"/>
  <c r="I40"/>
  <c r="H21"/>
  <c r="I34"/>
  <c r="H15"/>
  <c r="I28"/>
  <c r="H9"/>
  <c r="D25"/>
  <c r="C6"/>
  <c r="I27"/>
  <c r="H8"/>
  <c r="H27" s="1"/>
  <c r="H18"/>
  <c r="I37"/>
  <c r="H12"/>
  <c r="I31"/>
  <c r="I26"/>
  <c r="H7"/>
  <c r="H26" s="1"/>
  <c r="I25"/>
  <c r="H6"/>
  <c r="H25" s="1"/>
  <c r="C27"/>
  <c r="B8"/>
  <c r="B27" s="1"/>
  <c r="C25" l="1"/>
  <c r="B6"/>
  <c r="H34"/>
  <c r="B15"/>
  <c r="B34" s="1"/>
  <c r="H31"/>
  <c r="B12"/>
  <c r="B31" s="1"/>
  <c r="H28"/>
  <c r="B9"/>
  <c r="B28" s="1"/>
  <c r="H40"/>
  <c r="B21"/>
  <c r="B40" s="1"/>
  <c r="H37"/>
  <c r="B18"/>
  <c r="B37" s="1"/>
  <c r="B7"/>
  <c r="B26" s="1"/>
  <c r="B25" l="1"/>
  <c r="P6"/>
  <c r="B61" i="179" l="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B97"/>
  <c r="C97"/>
  <c r="D97"/>
  <c r="E97"/>
  <c r="F97"/>
  <c r="G97"/>
  <c r="B98"/>
  <c r="C98"/>
  <c r="D98"/>
  <c r="E98"/>
  <c r="F98"/>
  <c r="G98"/>
  <c r="B99"/>
  <c r="C99"/>
  <c r="D99"/>
  <c r="E99"/>
  <c r="F99"/>
  <c r="G99"/>
  <c r="B100"/>
  <c r="C100"/>
  <c r="D100"/>
  <c r="E100"/>
  <c r="F100"/>
  <c r="G100"/>
  <c r="B101"/>
  <c r="C101"/>
  <c r="D101"/>
  <c r="E101"/>
  <c r="F101"/>
  <c r="G101"/>
  <c r="B102"/>
  <c r="C102"/>
  <c r="D102"/>
  <c r="E102"/>
  <c r="F102"/>
  <c r="G102"/>
  <c r="B103"/>
  <c r="C103"/>
  <c r="D103"/>
  <c r="E103"/>
  <c r="F103"/>
  <c r="G103"/>
  <c r="B104"/>
  <c r="C104"/>
  <c r="D104"/>
  <c r="E104"/>
  <c r="F104"/>
  <c r="G104"/>
  <c r="B105"/>
  <c r="C105"/>
  <c r="D105"/>
  <c r="E105"/>
  <c r="F105"/>
  <c r="G105"/>
  <c r="C58"/>
  <c r="D58"/>
  <c r="E58"/>
  <c r="F58"/>
  <c r="G58"/>
  <c r="B58"/>
  <c r="B21" i="178"/>
  <c r="C21"/>
  <c r="D21"/>
  <c r="E21"/>
  <c r="F21"/>
  <c r="G21"/>
  <c r="H21"/>
  <c r="I21"/>
  <c r="J21"/>
  <c r="K21"/>
  <c r="L21"/>
  <c r="M21"/>
  <c r="N21"/>
  <c r="O21"/>
  <c r="B22"/>
  <c r="C22"/>
  <c r="D22"/>
  <c r="E22"/>
  <c r="F22"/>
  <c r="G22"/>
  <c r="H22"/>
  <c r="I22"/>
  <c r="J22"/>
  <c r="K22"/>
  <c r="L22"/>
  <c r="M22"/>
  <c r="N22"/>
  <c r="O22"/>
  <c r="B23"/>
  <c r="C23"/>
  <c r="D23"/>
  <c r="E23"/>
  <c r="F23"/>
  <c r="G23"/>
  <c r="H23"/>
  <c r="I23"/>
  <c r="J23"/>
  <c r="K23"/>
  <c r="L23"/>
  <c r="M23"/>
  <c r="N23"/>
  <c r="O23"/>
  <c r="B24"/>
  <c r="C24"/>
  <c r="D24"/>
  <c r="E24"/>
  <c r="F24"/>
  <c r="G24"/>
  <c r="H24"/>
  <c r="I24"/>
  <c r="J24"/>
  <c r="K24"/>
  <c r="L24"/>
  <c r="M24"/>
  <c r="N24"/>
  <c r="O24"/>
  <c r="B25"/>
  <c r="C25"/>
  <c r="D25"/>
  <c r="E25"/>
  <c r="F25"/>
  <c r="G25"/>
  <c r="H25"/>
  <c r="I25"/>
  <c r="J25"/>
  <c r="K25"/>
  <c r="L25"/>
  <c r="M25"/>
  <c r="N25"/>
  <c r="O25"/>
  <c r="B26"/>
  <c r="C26"/>
  <c r="D26"/>
  <c r="E26"/>
  <c r="F26"/>
  <c r="G26"/>
  <c r="H26"/>
  <c r="I26"/>
  <c r="J26"/>
  <c r="K26"/>
  <c r="L26"/>
  <c r="M26"/>
  <c r="N26"/>
  <c r="O26"/>
  <c r="B27"/>
  <c r="C27"/>
  <c r="D27"/>
  <c r="E27"/>
  <c r="F27"/>
  <c r="G27"/>
  <c r="H27"/>
  <c r="I27"/>
  <c r="J27"/>
  <c r="K27"/>
  <c r="L27"/>
  <c r="M27"/>
  <c r="N27"/>
  <c r="O27"/>
  <c r="B28"/>
  <c r="C28"/>
  <c r="D28"/>
  <c r="E28"/>
  <c r="F28"/>
  <c r="G28"/>
  <c r="H28"/>
  <c r="I28"/>
  <c r="J28"/>
  <c r="K28"/>
  <c r="L28"/>
  <c r="M28"/>
  <c r="N28"/>
  <c r="O28"/>
  <c r="B29"/>
  <c r="C29"/>
  <c r="D29"/>
  <c r="E29"/>
  <c r="F29"/>
  <c r="G29"/>
  <c r="H29"/>
  <c r="I29"/>
  <c r="J29"/>
  <c r="K29"/>
  <c r="L29"/>
  <c r="M29"/>
  <c r="N29"/>
  <c r="O29"/>
  <c r="B30"/>
  <c r="C30"/>
  <c r="D30"/>
  <c r="E30"/>
  <c r="F30"/>
  <c r="G30"/>
  <c r="H30"/>
  <c r="I30"/>
  <c r="J30"/>
  <c r="K30"/>
  <c r="L30"/>
  <c r="M30"/>
  <c r="N30"/>
  <c r="O30"/>
  <c r="B31"/>
  <c r="C31"/>
  <c r="D31"/>
  <c r="E31"/>
  <c r="F31"/>
  <c r="G31"/>
  <c r="H31"/>
  <c r="I31"/>
  <c r="J31"/>
  <c r="K31"/>
  <c r="L31"/>
  <c r="M31"/>
  <c r="N31"/>
  <c r="O31"/>
  <c r="C20"/>
  <c r="D20"/>
  <c r="E20"/>
  <c r="F20"/>
  <c r="G20"/>
  <c r="H20"/>
  <c r="I20"/>
  <c r="J20"/>
  <c r="K20"/>
  <c r="L20"/>
  <c r="M20"/>
  <c r="N20"/>
  <c r="O20"/>
  <c r="B20"/>
  <c r="AD15"/>
  <c r="AC15"/>
  <c r="AB15"/>
  <c r="AA15"/>
  <c r="Z15"/>
  <c r="Y15"/>
  <c r="X15"/>
  <c r="W15"/>
  <c r="V15"/>
  <c r="U15"/>
  <c r="T15"/>
  <c r="S15"/>
  <c r="R15"/>
  <c r="Q15"/>
  <c r="AD12"/>
  <c r="AC12"/>
  <c r="AB12"/>
  <c r="AA12"/>
  <c r="Z12"/>
  <c r="Y12"/>
  <c r="X12"/>
  <c r="W12"/>
  <c r="V12"/>
  <c r="U12"/>
  <c r="T12"/>
  <c r="S12"/>
  <c r="R12"/>
  <c r="Q12"/>
  <c r="AD9"/>
  <c r="AC9"/>
  <c r="AB9"/>
  <c r="AA9"/>
  <c r="Z9"/>
  <c r="Y9"/>
  <c r="X9"/>
  <c r="W9"/>
  <c r="V9"/>
  <c r="U9"/>
  <c r="T9"/>
  <c r="S9"/>
  <c r="R9"/>
  <c r="Q9"/>
  <c r="AC6"/>
  <c r="AB6"/>
  <c r="AA6"/>
  <c r="Z6"/>
  <c r="Y6"/>
  <c r="X6"/>
  <c r="W6"/>
  <c r="V6"/>
  <c r="U6"/>
  <c r="T6"/>
  <c r="S6"/>
  <c r="R6"/>
  <c r="Q6"/>
  <c r="B24" i="176" l="1"/>
  <c r="C24"/>
  <c r="D24"/>
  <c r="E24"/>
  <c r="F24"/>
  <c r="G24"/>
  <c r="H24"/>
  <c r="I24"/>
  <c r="J24"/>
  <c r="K24"/>
  <c r="L24"/>
  <c r="M24"/>
  <c r="N24"/>
  <c r="B25"/>
  <c r="C25"/>
  <c r="D25"/>
  <c r="E25"/>
  <c r="F25"/>
  <c r="G25"/>
  <c r="H25"/>
  <c r="I25"/>
  <c r="J25"/>
  <c r="K25"/>
  <c r="L25"/>
  <c r="M25"/>
  <c r="N25"/>
  <c r="B26"/>
  <c r="C26"/>
  <c r="D26"/>
  <c r="E26"/>
  <c r="F26"/>
  <c r="G26"/>
  <c r="H26"/>
  <c r="I26"/>
  <c r="J26"/>
  <c r="K26"/>
  <c r="L26"/>
  <c r="M26"/>
  <c r="N26"/>
  <c r="B27"/>
  <c r="C27"/>
  <c r="D27"/>
  <c r="E27"/>
  <c r="F27"/>
  <c r="G27"/>
  <c r="H27"/>
  <c r="I27"/>
  <c r="J27"/>
  <c r="K27"/>
  <c r="L27"/>
  <c r="M27"/>
  <c r="N27"/>
  <c r="B28"/>
  <c r="C28"/>
  <c r="D28"/>
  <c r="E28"/>
  <c r="F28"/>
  <c r="G28"/>
  <c r="H28"/>
  <c r="I28"/>
  <c r="J28"/>
  <c r="K28"/>
  <c r="L28"/>
  <c r="M28"/>
  <c r="N28"/>
  <c r="B29"/>
  <c r="C29"/>
  <c r="D29"/>
  <c r="E29"/>
  <c r="F29"/>
  <c r="G29"/>
  <c r="H29"/>
  <c r="I29"/>
  <c r="J29"/>
  <c r="K29"/>
  <c r="L29"/>
  <c r="M29"/>
  <c r="N29"/>
  <c r="B30"/>
  <c r="C30"/>
  <c r="D30"/>
  <c r="E30"/>
  <c r="F30"/>
  <c r="G30"/>
  <c r="H30"/>
  <c r="I30"/>
  <c r="J30"/>
  <c r="K30"/>
  <c r="L30"/>
  <c r="M30"/>
  <c r="N30"/>
  <c r="B31"/>
  <c r="C31"/>
  <c r="D31"/>
  <c r="E31"/>
  <c r="F31"/>
  <c r="G31"/>
  <c r="H31"/>
  <c r="I31"/>
  <c r="J31"/>
  <c r="K31"/>
  <c r="L31"/>
  <c r="M31"/>
  <c r="N31"/>
  <c r="B32"/>
  <c r="C32"/>
  <c r="D32"/>
  <c r="E32"/>
  <c r="F32"/>
  <c r="G32"/>
  <c r="H32"/>
  <c r="I32"/>
  <c r="J32"/>
  <c r="K32"/>
  <c r="L32"/>
  <c r="M32"/>
  <c r="N32"/>
  <c r="B33"/>
  <c r="C33"/>
  <c r="D33"/>
  <c r="E33"/>
  <c r="F33"/>
  <c r="G33"/>
  <c r="H33"/>
  <c r="I33"/>
  <c r="J33"/>
  <c r="K33"/>
  <c r="L33"/>
  <c r="M33"/>
  <c r="N33"/>
  <c r="B34"/>
  <c r="C34"/>
  <c r="D34"/>
  <c r="E34"/>
  <c r="F34"/>
  <c r="G34"/>
  <c r="H34"/>
  <c r="I34"/>
  <c r="J34"/>
  <c r="K34"/>
  <c r="L34"/>
  <c r="M34"/>
  <c r="N34"/>
  <c r="B35"/>
  <c r="C35"/>
  <c r="D35"/>
  <c r="E35"/>
  <c r="F35"/>
  <c r="G35"/>
  <c r="H35"/>
  <c r="I35"/>
  <c r="J35"/>
  <c r="K35"/>
  <c r="L35"/>
  <c r="M35"/>
  <c r="N35"/>
  <c r="B36"/>
  <c r="C36"/>
  <c r="D36"/>
  <c r="E36"/>
  <c r="F36"/>
  <c r="G36"/>
  <c r="H36"/>
  <c r="I36"/>
  <c r="J36"/>
  <c r="K36"/>
  <c r="L36"/>
  <c r="M36"/>
  <c r="N36"/>
  <c r="B37"/>
  <c r="C37"/>
  <c r="D37"/>
  <c r="E37"/>
  <c r="F37"/>
  <c r="G37"/>
  <c r="H37"/>
  <c r="I37"/>
  <c r="J37"/>
  <c r="K37"/>
  <c r="L37"/>
  <c r="M37"/>
  <c r="N37"/>
  <c r="C23"/>
  <c r="D23"/>
  <c r="E23"/>
  <c r="F23"/>
  <c r="G23"/>
  <c r="H23"/>
  <c r="I23"/>
  <c r="J23"/>
  <c r="K23"/>
  <c r="L23"/>
  <c r="M23"/>
  <c r="N23"/>
  <c r="B23"/>
  <c r="C24" i="238"/>
  <c r="D24"/>
  <c r="E24"/>
  <c r="F24"/>
  <c r="G24"/>
  <c r="H24"/>
  <c r="I24"/>
  <c r="J24"/>
  <c r="K24"/>
  <c r="L24"/>
  <c r="M24"/>
  <c r="N24"/>
  <c r="O24"/>
  <c r="P24"/>
  <c r="Q24"/>
  <c r="R24"/>
  <c r="S24"/>
  <c r="B24"/>
  <c r="C24" i="237"/>
  <c r="D24"/>
  <c r="E24"/>
  <c r="F24"/>
  <c r="G24"/>
  <c r="H24"/>
  <c r="I24"/>
  <c r="J24"/>
  <c r="K24"/>
  <c r="L24"/>
  <c r="M24"/>
  <c r="N24"/>
  <c r="O24"/>
  <c r="P24"/>
  <c r="Q24"/>
  <c r="R24"/>
  <c r="S24"/>
  <c r="T24"/>
  <c r="U24"/>
  <c r="V24"/>
  <c r="W24"/>
  <c r="X24"/>
  <c r="Y24"/>
  <c r="B24"/>
  <c r="J7" i="272"/>
  <c r="B20"/>
  <c r="J7" i="271"/>
  <c r="B20"/>
  <c r="AB18" i="176" l="1"/>
  <c r="AA18"/>
  <c r="Z18"/>
  <c r="Y18"/>
  <c r="X18"/>
  <c r="W18"/>
  <c r="V18"/>
  <c r="U18"/>
  <c r="T18"/>
  <c r="S18"/>
  <c r="R18"/>
  <c r="Q18"/>
  <c r="P18"/>
  <c r="AB15"/>
  <c r="AA15"/>
  <c r="Z15"/>
  <c r="Y15"/>
  <c r="X15"/>
  <c r="W15"/>
  <c r="V15"/>
  <c r="U15"/>
  <c r="T15"/>
  <c r="S15"/>
  <c r="R15"/>
  <c r="Q15"/>
  <c r="P15"/>
  <c r="AB12"/>
  <c r="AA12"/>
  <c r="Z12"/>
  <c r="Y12"/>
  <c r="X12"/>
  <c r="W12"/>
  <c r="V12"/>
  <c r="U12"/>
  <c r="T12"/>
  <c r="S12"/>
  <c r="R12"/>
  <c r="Q12"/>
  <c r="P12"/>
  <c r="AB9"/>
  <c r="AA9"/>
  <c r="Z9"/>
  <c r="Y9"/>
  <c r="X9"/>
  <c r="W9"/>
  <c r="V9"/>
  <c r="U9"/>
  <c r="T9"/>
  <c r="S9"/>
  <c r="R9"/>
  <c r="Q9"/>
  <c r="P9"/>
  <c r="AB6"/>
  <c r="AA6"/>
  <c r="Z6"/>
  <c r="Y6"/>
  <c r="X6"/>
  <c r="W6"/>
  <c r="V6"/>
  <c r="U6"/>
  <c r="T6"/>
  <c r="S6"/>
  <c r="R6"/>
  <c r="Q6"/>
  <c r="P6"/>
  <c r="P23" i="238"/>
  <c r="L23"/>
  <c r="G23"/>
  <c r="C23"/>
  <c r="L33" i="269" l="1"/>
  <c r="G33"/>
  <c r="F33"/>
  <c r="E33"/>
  <c r="D33"/>
  <c r="C33"/>
  <c r="L32"/>
  <c r="G32"/>
  <c r="F32"/>
  <c r="E32"/>
  <c r="D32"/>
  <c r="C32"/>
  <c r="L31"/>
  <c r="G31"/>
  <c r="F31"/>
  <c r="E31"/>
  <c r="D31"/>
  <c r="C31"/>
  <c r="L30"/>
  <c r="G30"/>
  <c r="F30"/>
  <c r="E30"/>
  <c r="D30"/>
  <c r="C30"/>
  <c r="L29"/>
  <c r="G29"/>
  <c r="F29"/>
  <c r="E29"/>
  <c r="D29"/>
  <c r="C29"/>
  <c r="L28"/>
  <c r="G28"/>
  <c r="F28"/>
  <c r="E28"/>
  <c r="D28"/>
  <c r="C28"/>
  <c r="L27"/>
  <c r="G27"/>
  <c r="F27"/>
  <c r="E27"/>
  <c r="D27"/>
  <c r="C27"/>
  <c r="L26"/>
  <c r="G26"/>
  <c r="F26"/>
  <c r="E26"/>
  <c r="D26"/>
  <c r="C26"/>
  <c r="L25"/>
  <c r="G25"/>
  <c r="F25"/>
  <c r="E25"/>
  <c r="D25"/>
  <c r="C25"/>
  <c r="L24"/>
  <c r="G24"/>
  <c r="F24"/>
  <c r="E24"/>
  <c r="D24"/>
  <c r="C24"/>
  <c r="L23"/>
  <c r="G23"/>
  <c r="F23"/>
  <c r="E23"/>
  <c r="D23"/>
  <c r="C23"/>
  <c r="L22"/>
  <c r="G22"/>
  <c r="F22"/>
  <c r="E22"/>
  <c r="D22"/>
  <c r="C22"/>
  <c r="L21"/>
  <c r="G21"/>
  <c r="F21"/>
  <c r="E21"/>
  <c r="D21"/>
  <c r="C21"/>
  <c r="L20"/>
  <c r="G20"/>
  <c r="F20"/>
  <c r="E20"/>
  <c r="D20"/>
  <c r="C20"/>
  <c r="L19"/>
  <c r="G19"/>
  <c r="F19"/>
  <c r="E19"/>
  <c r="D19"/>
  <c r="C19"/>
  <c r="L18"/>
  <c r="G18"/>
  <c r="F18"/>
  <c r="E18"/>
  <c r="D18"/>
  <c r="C18"/>
  <c r="L17"/>
  <c r="G17"/>
  <c r="F17"/>
  <c r="E17"/>
  <c r="D17"/>
  <c r="C17"/>
  <c r="L16"/>
  <c r="G16"/>
  <c r="F16"/>
  <c r="E16"/>
  <c r="D16"/>
  <c r="C16"/>
  <c r="B16"/>
  <c r="L15"/>
  <c r="G15"/>
  <c r="F15"/>
  <c r="E15"/>
  <c r="D15"/>
  <c r="C15"/>
  <c r="L14"/>
  <c r="G14"/>
  <c r="F14"/>
  <c r="E14"/>
  <c r="D14"/>
  <c r="C14"/>
  <c r="L13"/>
  <c r="G13"/>
  <c r="F13"/>
  <c r="E13"/>
  <c r="D13"/>
  <c r="C13"/>
  <c r="L12"/>
  <c r="B12" s="1"/>
  <c r="G12"/>
  <c r="F12"/>
  <c r="E12"/>
  <c r="D12"/>
  <c r="C12"/>
  <c r="L11"/>
  <c r="G11"/>
  <c r="F11"/>
  <c r="E11"/>
  <c r="D11"/>
  <c r="C11"/>
  <c r="L10"/>
  <c r="G10"/>
  <c r="B10" s="1"/>
  <c r="F10"/>
  <c r="E10"/>
  <c r="D10"/>
  <c r="C10"/>
  <c r="L9"/>
  <c r="G9"/>
  <c r="F9"/>
  <c r="E9"/>
  <c r="D9"/>
  <c r="C9"/>
  <c r="L8"/>
  <c r="G8"/>
  <c r="B8" s="1"/>
  <c r="F8"/>
  <c r="E8"/>
  <c r="D8"/>
  <c r="C8"/>
  <c r="L7"/>
  <c r="G7"/>
  <c r="B7" s="1"/>
  <c r="F7"/>
  <c r="E7"/>
  <c r="D7"/>
  <c r="C7"/>
  <c r="L6"/>
  <c r="G6"/>
  <c r="F6"/>
  <c r="E6"/>
  <c r="D6"/>
  <c r="C6"/>
  <c r="P5"/>
  <c r="O5"/>
  <c r="N5"/>
  <c r="M5"/>
  <c r="K5"/>
  <c r="F5" s="1"/>
  <c r="J5"/>
  <c r="I5"/>
  <c r="H5"/>
  <c r="F5" i="268"/>
  <c r="B32" i="269" l="1"/>
  <c r="B21"/>
  <c r="B23"/>
  <c r="B20"/>
  <c r="B24"/>
  <c r="B30"/>
  <c r="B28"/>
  <c r="E5"/>
  <c r="B14"/>
  <c r="D5"/>
  <c r="B17"/>
  <c r="B19"/>
  <c r="B26"/>
  <c r="B33"/>
  <c r="B29"/>
  <c r="G5"/>
  <c r="B6"/>
  <c r="B13"/>
  <c r="B15"/>
  <c r="B22"/>
  <c r="B31"/>
  <c r="L5"/>
  <c r="B9"/>
  <c r="B11"/>
  <c r="B18"/>
  <c r="B25"/>
  <c r="B27"/>
  <c r="C5"/>
  <c r="B5" l="1"/>
  <c r="Q5" s="1"/>
  <c r="D15" i="268"/>
  <c r="C15"/>
  <c r="B15"/>
  <c r="B14"/>
  <c r="B13"/>
  <c r="B12"/>
  <c r="B11"/>
  <c r="B10"/>
  <c r="B9"/>
  <c r="B8"/>
  <c r="B7"/>
  <c r="B5" s="1"/>
  <c r="E5" s="1"/>
  <c r="B6"/>
  <c r="D5"/>
  <c r="C5"/>
  <c r="W23" i="237"/>
  <c r="T23"/>
  <c r="P23"/>
  <c r="L23"/>
  <c r="G23"/>
  <c r="D23"/>
  <c r="E21" i="238"/>
  <c r="C21"/>
  <c r="E21" i="237"/>
  <c r="C21"/>
  <c r="C19" i="172" l="1"/>
  <c r="B21" i="263" l="1"/>
  <c r="B11" i="267" l="1"/>
  <c r="B10"/>
  <c r="B9"/>
  <c r="B8"/>
  <c r="B7"/>
  <c r="B6"/>
  <c r="B5"/>
  <c r="E4"/>
  <c r="E13" s="1"/>
  <c r="D4"/>
  <c r="C4"/>
  <c r="B14" i="266"/>
  <c r="B13"/>
  <c r="B12"/>
  <c r="B11"/>
  <c r="B10"/>
  <c r="B9"/>
  <c r="B8"/>
  <c r="B7"/>
  <c r="B6"/>
  <c r="B5"/>
  <c r="E4"/>
  <c r="D4"/>
  <c r="C4"/>
  <c r="B4"/>
  <c r="C8" i="265"/>
  <c r="B8" s="1"/>
  <c r="C7"/>
  <c r="B7"/>
  <c r="C6"/>
  <c r="B6" s="1"/>
  <c r="J5"/>
  <c r="I5"/>
  <c r="H5"/>
  <c r="G5"/>
  <c r="F5"/>
  <c r="E5"/>
  <c r="D5"/>
  <c r="K20" i="264"/>
  <c r="K19"/>
  <c r="K18"/>
  <c r="K17"/>
  <c r="K16"/>
  <c r="K15"/>
  <c r="K14"/>
  <c r="K13"/>
  <c r="K12"/>
  <c r="K11"/>
  <c r="K10"/>
  <c r="K9"/>
  <c r="K8"/>
  <c r="B8"/>
  <c r="K7"/>
  <c r="B7"/>
  <c r="K6"/>
  <c r="B6"/>
  <c r="I5"/>
  <c r="H5"/>
  <c r="G5"/>
  <c r="F5"/>
  <c r="E5"/>
  <c r="D5"/>
  <c r="K5" s="1"/>
  <c r="C5"/>
  <c r="B21" i="262"/>
  <c r="B5" i="265" l="1"/>
  <c r="K5" s="1"/>
  <c r="K6"/>
  <c r="K7"/>
  <c r="C16" i="266"/>
  <c r="L5" i="264"/>
  <c r="D16" i="266"/>
  <c r="C13" i="267"/>
  <c r="F4" i="266"/>
  <c r="G4"/>
  <c r="B16"/>
  <c r="B5" i="264"/>
  <c r="C5" i="265"/>
  <c r="K8"/>
  <c r="E16" i="266"/>
  <c r="D13" i="267"/>
  <c r="B4"/>
  <c r="F27" i="254"/>
  <c r="K23" i="249" s="1"/>
  <c r="I23"/>
  <c r="F4" i="267" l="1"/>
  <c r="B13"/>
  <c r="N6" i="42"/>
  <c r="N11" s="1"/>
  <c r="K6"/>
  <c r="K11" s="1"/>
  <c r="J6"/>
  <c r="J11" s="1"/>
  <c r="H6"/>
  <c r="H11" s="1"/>
  <c r="F6"/>
  <c r="F11" s="1"/>
  <c r="L9"/>
  <c r="C8"/>
  <c r="Q5" i="41"/>
  <c r="Q12" s="1"/>
  <c r="N5"/>
  <c r="N12" s="1"/>
  <c r="M5"/>
  <c r="M12" s="1"/>
  <c r="I5"/>
  <c r="I12" s="1"/>
  <c r="F5"/>
  <c r="F12" s="1"/>
  <c r="D5"/>
  <c r="D12" s="1"/>
  <c r="L10"/>
  <c r="L8"/>
  <c r="C9"/>
  <c r="C8"/>
  <c r="C7"/>
  <c r="O6" l="1"/>
  <c r="C6"/>
  <c r="G19" i="259" l="1"/>
  <c r="D19"/>
  <c r="F19" s="1"/>
  <c r="C19"/>
  <c r="F12"/>
  <c r="E12"/>
  <c r="H12" s="1"/>
  <c r="F11"/>
  <c r="E11"/>
  <c r="H11" s="1"/>
  <c r="F10"/>
  <c r="E10"/>
  <c r="H10" s="1"/>
  <c r="F9"/>
  <c r="E9"/>
  <c r="H9" s="1"/>
  <c r="C6" i="40"/>
  <c r="E19" i="259" l="1"/>
  <c r="H19" s="1"/>
  <c r="W21" i="258" l="1"/>
  <c r="T21"/>
  <c r="P21"/>
  <c r="L21"/>
  <c r="G21"/>
  <c r="W20"/>
  <c r="T20"/>
  <c r="P20"/>
  <c r="L20"/>
  <c r="G20"/>
  <c r="F20"/>
  <c r="E20"/>
  <c r="D20"/>
  <c r="C20"/>
  <c r="W19"/>
  <c r="T19"/>
  <c r="P19"/>
  <c r="L19"/>
  <c r="G19"/>
  <c r="F19"/>
  <c r="E19"/>
  <c r="D19"/>
  <c r="C19"/>
  <c r="W18"/>
  <c r="T18"/>
  <c r="P18"/>
  <c r="L18"/>
  <c r="G18"/>
  <c r="B18" s="1"/>
  <c r="F18"/>
  <c r="E18"/>
  <c r="D18"/>
  <c r="C18"/>
  <c r="W17"/>
  <c r="T17"/>
  <c r="P17"/>
  <c r="L17"/>
  <c r="G17"/>
  <c r="F17"/>
  <c r="E17"/>
  <c r="D17"/>
  <c r="C17"/>
  <c r="W16"/>
  <c r="U16"/>
  <c r="T16"/>
  <c r="S16"/>
  <c r="R16"/>
  <c r="P16" s="1"/>
  <c r="O16"/>
  <c r="N16"/>
  <c r="L16" s="1"/>
  <c r="G16"/>
  <c r="F16"/>
  <c r="E16"/>
  <c r="C16"/>
  <c r="W15"/>
  <c r="T15"/>
  <c r="P15"/>
  <c r="L15"/>
  <c r="G15"/>
  <c r="F15"/>
  <c r="E15"/>
  <c r="D15"/>
  <c r="C15"/>
  <c r="B15"/>
  <c r="W14"/>
  <c r="T14"/>
  <c r="P14"/>
  <c r="L14"/>
  <c r="B14" s="1"/>
  <c r="G14"/>
  <c r="F14"/>
  <c r="E14"/>
  <c r="D14"/>
  <c r="C14"/>
  <c r="W13"/>
  <c r="T13"/>
  <c r="P13"/>
  <c r="B13" s="1"/>
  <c r="L13"/>
  <c r="G13"/>
  <c r="F13"/>
  <c r="E13"/>
  <c r="D13"/>
  <c r="C13"/>
  <c r="W12"/>
  <c r="T12"/>
  <c r="P12"/>
  <c r="L12"/>
  <c r="G12"/>
  <c r="B12" s="1"/>
  <c r="F12"/>
  <c r="E12"/>
  <c r="D12"/>
  <c r="C12"/>
  <c r="W11"/>
  <c r="T11"/>
  <c r="P11"/>
  <c r="L11"/>
  <c r="B11" s="1"/>
  <c r="G11"/>
  <c r="F11"/>
  <c r="E11"/>
  <c r="D11"/>
  <c r="C11"/>
  <c r="W10"/>
  <c r="T10"/>
  <c r="P10"/>
  <c r="L10"/>
  <c r="G10"/>
  <c r="B10" s="1"/>
  <c r="F10"/>
  <c r="E10"/>
  <c r="D10"/>
  <c r="C10"/>
  <c r="W9"/>
  <c r="T9"/>
  <c r="P9"/>
  <c r="L9"/>
  <c r="G9"/>
  <c r="B9" s="1"/>
  <c r="F9"/>
  <c r="E9"/>
  <c r="D9"/>
  <c r="C9"/>
  <c r="W8"/>
  <c r="T8"/>
  <c r="P8"/>
  <c r="L8"/>
  <c r="G8"/>
  <c r="F8"/>
  <c r="E8"/>
  <c r="D8"/>
  <c r="C8"/>
  <c r="W7"/>
  <c r="T7"/>
  <c r="P7"/>
  <c r="L7"/>
  <c r="G7"/>
  <c r="F7"/>
  <c r="E7"/>
  <c r="D7"/>
  <c r="C7"/>
  <c r="B7"/>
  <c r="W6"/>
  <c r="P6"/>
  <c r="L6"/>
  <c r="G6"/>
  <c r="B6" s="1"/>
  <c r="F6"/>
  <c r="E6"/>
  <c r="D6"/>
  <c r="C6"/>
  <c r="W5"/>
  <c r="P5"/>
  <c r="L5"/>
  <c r="G5"/>
  <c r="B5" s="1"/>
  <c r="F5"/>
  <c r="E5"/>
  <c r="D5"/>
  <c r="C5"/>
  <c r="B17" l="1"/>
  <c r="B8"/>
  <c r="B20"/>
  <c r="D16"/>
  <c r="B19"/>
  <c r="B21"/>
  <c r="B16"/>
  <c r="B22" s="1"/>
  <c r="B20" i="257" l="1"/>
  <c r="B19"/>
  <c r="B18"/>
  <c r="B17"/>
  <c r="B16"/>
  <c r="D15"/>
  <c r="B15"/>
  <c r="B14"/>
  <c r="B13"/>
  <c r="B12"/>
  <c r="B11"/>
  <c r="H10"/>
  <c r="B10"/>
  <c r="B9"/>
  <c r="B8"/>
  <c r="B7"/>
  <c r="B6"/>
  <c r="B5"/>
  <c r="B4"/>
  <c r="H11" l="1"/>
  <c r="H17" i="256"/>
  <c r="F17"/>
  <c r="E17"/>
  <c r="D17"/>
  <c r="F7" i="255"/>
  <c r="E7"/>
  <c r="D7"/>
  <c r="G17" i="256" l="1"/>
  <c r="Z21" i="254"/>
  <c r="T21"/>
  <c r="M21" l="1"/>
  <c r="G21"/>
  <c r="AC20"/>
  <c r="Z20"/>
  <c r="T20"/>
  <c r="M20"/>
  <c r="G20"/>
  <c r="Z19"/>
  <c r="T19"/>
  <c r="M19"/>
  <c r="G19"/>
  <c r="V18"/>
  <c r="Z18" s="1"/>
  <c r="P18"/>
  <c r="T18" s="1"/>
  <c r="I18"/>
  <c r="M18" s="1"/>
  <c r="C18"/>
  <c r="G18" s="1"/>
  <c r="Z17"/>
  <c r="T17"/>
  <c r="M17"/>
  <c r="G17"/>
  <c r="Z16"/>
  <c r="T16"/>
  <c r="M16"/>
  <c r="G16"/>
  <c r="Z15"/>
  <c r="T15"/>
  <c r="M15"/>
  <c r="G15"/>
  <c r="Z14"/>
  <c r="T14"/>
  <c r="M14"/>
  <c r="G14"/>
  <c r="Z13"/>
  <c r="T13"/>
  <c r="M13"/>
  <c r="G13"/>
  <c r="Z12"/>
  <c r="T12"/>
  <c r="M12"/>
  <c r="G12"/>
  <c r="Z11"/>
  <c r="T11"/>
  <c r="M11"/>
  <c r="G11"/>
  <c r="Z10"/>
  <c r="T10"/>
  <c r="M10"/>
  <c r="G10"/>
  <c r="AC9"/>
  <c r="Z9"/>
  <c r="T9"/>
  <c r="M9"/>
  <c r="G9"/>
  <c r="AB9" s="1"/>
  <c r="Z8"/>
  <c r="T8"/>
  <c r="M8"/>
  <c r="G8"/>
  <c r="AB8" s="1"/>
  <c r="Z7"/>
  <c r="T7"/>
  <c r="M7"/>
  <c r="G7"/>
  <c r="AB7" s="1"/>
  <c r="J29" i="253"/>
  <c r="H29"/>
  <c r="D29"/>
  <c r="B29"/>
  <c r="L21"/>
  <c r="K21"/>
  <c r="I21"/>
  <c r="F21"/>
  <c r="E21"/>
  <c r="C21"/>
  <c r="L20"/>
  <c r="L29" s="1"/>
  <c r="K20"/>
  <c r="K29" s="1"/>
  <c r="I20"/>
  <c r="I29" s="1"/>
  <c r="F20"/>
  <c r="F29" s="1"/>
  <c r="M19"/>
  <c r="L19"/>
  <c r="G19"/>
  <c r="F19"/>
  <c r="M18"/>
  <c r="O18" s="1"/>
  <c r="L18"/>
  <c r="N18" s="1"/>
  <c r="G18"/>
  <c r="F18"/>
  <c r="M17"/>
  <c r="L17"/>
  <c r="G17"/>
  <c r="F17"/>
  <c r="M16"/>
  <c r="O16" s="1"/>
  <c r="L16"/>
  <c r="N16" s="1"/>
  <c r="G16"/>
  <c r="F16"/>
  <c r="M15"/>
  <c r="L15"/>
  <c r="G15"/>
  <c r="F15"/>
  <c r="M14"/>
  <c r="O14" s="1"/>
  <c r="L14"/>
  <c r="N14" s="1"/>
  <c r="G14"/>
  <c r="F14"/>
  <c r="M13"/>
  <c r="L13"/>
  <c r="G13"/>
  <c r="F13"/>
  <c r="M12"/>
  <c r="O12" s="1"/>
  <c r="L12"/>
  <c r="N12" s="1"/>
  <c r="G12"/>
  <c r="F12"/>
  <c r="O11"/>
  <c r="N11"/>
  <c r="M11"/>
  <c r="G11"/>
  <c r="O10"/>
  <c r="N10"/>
  <c r="M10"/>
  <c r="G10"/>
  <c r="O9"/>
  <c r="N9"/>
  <c r="M9"/>
  <c r="G9"/>
  <c r="N8"/>
  <c r="M8"/>
  <c r="O8" s="1"/>
  <c r="G8"/>
  <c r="M7"/>
  <c r="G7"/>
  <c r="I24" i="252"/>
  <c r="F24"/>
  <c r="C24"/>
  <c r="R16"/>
  <c r="G16"/>
  <c r="D16"/>
  <c r="H15"/>
  <c r="E15"/>
  <c r="R14"/>
  <c r="G14"/>
  <c r="D14"/>
  <c r="B14" s="1"/>
  <c r="G13"/>
  <c r="D13"/>
  <c r="H12"/>
  <c r="G12" s="1"/>
  <c r="E12"/>
  <c r="D12" s="1"/>
  <c r="I11"/>
  <c r="H11"/>
  <c r="F11"/>
  <c r="E11"/>
  <c r="G10"/>
  <c r="D10"/>
  <c r="G9"/>
  <c r="D9"/>
  <c r="K8"/>
  <c r="K9" s="1"/>
  <c r="K10" s="1"/>
  <c r="K11" s="1"/>
  <c r="K12" s="1"/>
  <c r="K13" s="1"/>
  <c r="K14" s="1"/>
  <c r="K15" s="1"/>
  <c r="G8"/>
  <c r="D8"/>
  <c r="G7"/>
  <c r="D7"/>
  <c r="I6"/>
  <c r="Q6" s="1"/>
  <c r="H6"/>
  <c r="P6" s="1"/>
  <c r="F6"/>
  <c r="N6" s="1"/>
  <c r="E6"/>
  <c r="F20" i="251"/>
  <c r="F19"/>
  <c r="B19" s="1"/>
  <c r="N19" s="1"/>
  <c r="F18"/>
  <c r="B18" s="1"/>
  <c r="N18" s="1"/>
  <c r="F17"/>
  <c r="B17" s="1"/>
  <c r="N17" s="1"/>
  <c r="F16"/>
  <c r="B16" s="1"/>
  <c r="F15"/>
  <c r="B15" s="1"/>
  <c r="N15" s="1"/>
  <c r="F14"/>
  <c r="B14"/>
  <c r="N14" s="1"/>
  <c r="F13"/>
  <c r="B13" s="1"/>
  <c r="N13" s="1"/>
  <c r="F12"/>
  <c r="B12" s="1"/>
  <c r="N12" s="1"/>
  <c r="F11"/>
  <c r="B11" s="1"/>
  <c r="F10"/>
  <c r="B10" s="1"/>
  <c r="F9"/>
  <c r="B9" s="1"/>
  <c r="F8"/>
  <c r="B8"/>
  <c r="F7"/>
  <c r="B7" s="1"/>
  <c r="G6"/>
  <c r="F6"/>
  <c r="B6"/>
  <c r="F5"/>
  <c r="B5" s="1"/>
  <c r="N21" i="250"/>
  <c r="D21"/>
  <c r="C21" s="1"/>
  <c r="B21" s="1"/>
  <c r="AC21" i="254" s="1"/>
  <c r="N20" i="250"/>
  <c r="D20"/>
  <c r="C20" s="1"/>
  <c r="N19"/>
  <c r="D19"/>
  <c r="C19" s="1"/>
  <c r="N18"/>
  <c r="F18"/>
  <c r="D18"/>
  <c r="C18" s="1"/>
  <c r="B18" s="1"/>
  <c r="AC18" i="254" s="1"/>
  <c r="N17" i="250"/>
  <c r="F17"/>
  <c r="D17" s="1"/>
  <c r="C17" s="1"/>
  <c r="N16"/>
  <c r="F16"/>
  <c r="D16" s="1"/>
  <c r="C16" s="1"/>
  <c r="B16" s="1"/>
  <c r="AC16" i="254" s="1"/>
  <c r="N15" i="250"/>
  <c r="F15"/>
  <c r="D15" s="1"/>
  <c r="C15" s="1"/>
  <c r="N14"/>
  <c r="K14"/>
  <c r="D14"/>
  <c r="C14" s="1"/>
  <c r="B14" s="1"/>
  <c r="AC14" i="254" s="1"/>
  <c r="N13" i="250"/>
  <c r="D13"/>
  <c r="C13" s="1"/>
  <c r="B13" s="1"/>
  <c r="AC13" i="254" s="1"/>
  <c r="N12" i="250"/>
  <c r="D12"/>
  <c r="C12" s="1"/>
  <c r="B12" s="1"/>
  <c r="N11"/>
  <c r="D11"/>
  <c r="C11" s="1"/>
  <c r="B11" s="1"/>
  <c r="N10"/>
  <c r="D10"/>
  <c r="C10"/>
  <c r="N9"/>
  <c r="D9"/>
  <c r="C9"/>
  <c r="N8"/>
  <c r="D8"/>
  <c r="C8" s="1"/>
  <c r="N7"/>
  <c r="D7"/>
  <c r="C7" s="1"/>
  <c r="N6"/>
  <c r="D6"/>
  <c r="C6"/>
  <c r="M21" i="253" l="1"/>
  <c r="B8" i="250"/>
  <c r="AC7" i="254" s="1"/>
  <c r="AD7" s="1"/>
  <c r="B28"/>
  <c r="B6" i="250"/>
  <c r="B10"/>
  <c r="AC10" i="254" s="1"/>
  <c r="AD10" s="1"/>
  <c r="B7" i="250"/>
  <c r="B9"/>
  <c r="AC8" i="254" s="1"/>
  <c r="AD8" s="1"/>
  <c r="B15" i="250"/>
  <c r="AC15" i="254" s="1"/>
  <c r="B17" i="250"/>
  <c r="AC17" i="254" s="1"/>
  <c r="N16" i="251"/>
  <c r="M16"/>
  <c r="AD9" i="254"/>
  <c r="N11" i="251"/>
  <c r="B23"/>
  <c r="M18"/>
  <c r="O7" i="253"/>
  <c r="AB10" i="254"/>
  <c r="AB12"/>
  <c r="AB13"/>
  <c r="AD13" s="1"/>
  <c r="AB14"/>
  <c r="AD14" s="1"/>
  <c r="AB15"/>
  <c r="AB16"/>
  <c r="AB17"/>
  <c r="AB19"/>
  <c r="AD19" s="1"/>
  <c r="AB20"/>
  <c r="AD20" s="1"/>
  <c r="N13" i="253"/>
  <c r="N15"/>
  <c r="N17"/>
  <c r="N19"/>
  <c r="O13"/>
  <c r="O15"/>
  <c r="O17"/>
  <c r="O19"/>
  <c r="AC12" i="254"/>
  <c r="AD12" s="1"/>
  <c r="M20" i="251"/>
  <c r="B20"/>
  <c r="B19" i="250"/>
  <c r="AC19" i="254" s="1"/>
  <c r="M19" i="251"/>
  <c r="G11" i="252"/>
  <c r="AB21" i="254"/>
  <c r="AD21" s="1"/>
  <c r="N21" i="253"/>
  <c r="C20"/>
  <c r="E20"/>
  <c r="E29" s="1"/>
  <c r="B8" i="252"/>
  <c r="B13"/>
  <c r="B7"/>
  <c r="B10"/>
  <c r="B9"/>
  <c r="D11"/>
  <c r="M20" i="253"/>
  <c r="M29" s="1"/>
  <c r="B12" i="252"/>
  <c r="D15"/>
  <c r="B16"/>
  <c r="G21" i="253"/>
  <c r="N20" i="251"/>
  <c r="B30" i="250"/>
  <c r="C30"/>
  <c r="Q7" i="252"/>
  <c r="Q8" s="1"/>
  <c r="Q9" s="1"/>
  <c r="Q10" s="1"/>
  <c r="Q11" s="1"/>
  <c r="Q12" s="1"/>
  <c r="Q13" s="1"/>
  <c r="Q14" s="1"/>
  <c r="Q15" s="1"/>
  <c r="AD15" i="254"/>
  <c r="AD16"/>
  <c r="AB18"/>
  <c r="AD18" s="1"/>
  <c r="P7" i="252"/>
  <c r="O6"/>
  <c r="AC11" i="254"/>
  <c r="M6" i="252"/>
  <c r="D6"/>
  <c r="N7"/>
  <c r="N8" s="1"/>
  <c r="N9" s="1"/>
  <c r="N10" s="1"/>
  <c r="N11" s="1"/>
  <c r="N12" s="1"/>
  <c r="N13" s="1"/>
  <c r="N14" s="1"/>
  <c r="N15" s="1"/>
  <c r="K16"/>
  <c r="K24"/>
  <c r="R15"/>
  <c r="H24"/>
  <c r="G6"/>
  <c r="E24"/>
  <c r="N20" i="253"/>
  <c r="N29" s="1"/>
  <c r="G15" i="252"/>
  <c r="AB11" i="254"/>
  <c r="AD11" l="1"/>
  <c r="B11" i="252"/>
  <c r="B31" i="250"/>
  <c r="AD17" i="254"/>
  <c r="G20" i="253"/>
  <c r="G29" s="1"/>
  <c r="C29"/>
  <c r="D24" i="252"/>
  <c r="O21" i="253"/>
  <c r="O26" s="1"/>
  <c r="B6" i="252"/>
  <c r="J6" s="1"/>
  <c r="M7"/>
  <c r="L6"/>
  <c r="G24"/>
  <c r="B15"/>
  <c r="N24"/>
  <c r="N16"/>
  <c r="P8"/>
  <c r="O7"/>
  <c r="Q24"/>
  <c r="Q16"/>
  <c r="O20" i="253" l="1"/>
  <c r="O29" s="1"/>
  <c r="B24" i="252"/>
  <c r="P9"/>
  <c r="O8"/>
  <c r="C27" i="254"/>
  <c r="M8" i="252"/>
  <c r="L7"/>
  <c r="J7" s="1"/>
  <c r="B27" i="253" l="1"/>
  <c r="P10" i="252"/>
  <c r="O9"/>
  <c r="M9"/>
  <c r="L8"/>
  <c r="J8" s="1"/>
  <c r="M10" l="1"/>
  <c r="L9"/>
  <c r="J9" s="1"/>
  <c r="P11"/>
  <c r="O10"/>
  <c r="P12" l="1"/>
  <c r="O11"/>
  <c r="M11"/>
  <c r="L10"/>
  <c r="J10" s="1"/>
  <c r="M12" l="1"/>
  <c r="L11"/>
  <c r="J11" s="1"/>
  <c r="P13"/>
  <c r="O12"/>
  <c r="P14" l="1"/>
  <c r="O13"/>
  <c r="M13"/>
  <c r="L12"/>
  <c r="J12" s="1"/>
  <c r="M14" l="1"/>
  <c r="L13"/>
  <c r="J13" s="1"/>
  <c r="P15"/>
  <c r="O14"/>
  <c r="P16" l="1"/>
  <c r="O15"/>
  <c r="P24"/>
  <c r="M15"/>
  <c r="L14"/>
  <c r="J14" s="1"/>
  <c r="O24" l="1"/>
  <c r="O16"/>
  <c r="L15"/>
  <c r="M16"/>
  <c r="M24"/>
  <c r="L16" l="1"/>
  <c r="B27" i="254"/>
  <c r="L24" i="252"/>
  <c r="J15"/>
  <c r="E23" l="1"/>
  <c r="B23"/>
  <c r="J16"/>
  <c r="J24"/>
  <c r="G21" i="249"/>
  <c r="M7" i="248"/>
  <c r="M8"/>
  <c r="M9"/>
  <c r="M10"/>
  <c r="M11"/>
  <c r="M12"/>
  <c r="M13"/>
  <c r="M14"/>
  <c r="M15"/>
  <c r="M16"/>
  <c r="M17"/>
  <c r="M18"/>
  <c r="M19"/>
  <c r="M20"/>
  <c r="M21"/>
  <c r="M22"/>
  <c r="M6"/>
  <c r="L7"/>
  <c r="L8"/>
  <c r="L9"/>
  <c r="L10"/>
  <c r="L11"/>
  <c r="L12"/>
  <c r="L13"/>
  <c r="L14"/>
  <c r="L15"/>
  <c r="L16"/>
  <c r="L17"/>
  <c r="L18"/>
  <c r="L19"/>
  <c r="L20"/>
  <c r="L21"/>
  <c r="L22"/>
  <c r="L6"/>
  <c r="AD19" i="247"/>
  <c r="AD17"/>
  <c r="AD6"/>
  <c r="AD7"/>
  <c r="AD8"/>
  <c r="AD9"/>
  <c r="AD10"/>
  <c r="AD11"/>
  <c r="AD12"/>
  <c r="AD13"/>
  <c r="AD14"/>
  <c r="AD15"/>
  <c r="AD16"/>
  <c r="AD5"/>
  <c r="AC6"/>
  <c r="AC7"/>
  <c r="AC8"/>
  <c r="AC9"/>
  <c r="AC10"/>
  <c r="AC11"/>
  <c r="AC12"/>
  <c r="AC13"/>
  <c r="AC14"/>
  <c r="AC15"/>
  <c r="AC16"/>
  <c r="AC17"/>
  <c r="AC18"/>
  <c r="AC19"/>
  <c r="AC20"/>
  <c r="AC21"/>
  <c r="AC5"/>
  <c r="AA19"/>
  <c r="AA17"/>
  <c r="W5"/>
  <c r="AB19"/>
  <c r="AB17"/>
  <c r="Z18"/>
  <c r="Z19"/>
  <c r="Z20"/>
  <c r="Z21"/>
  <c r="Z17"/>
  <c r="Y18"/>
  <c r="Y19"/>
  <c r="Y20"/>
  <c r="Y21"/>
  <c r="Y17"/>
  <c r="Z6" l="1"/>
  <c r="Z7"/>
  <c r="Z8"/>
  <c r="Z9"/>
  <c r="Z10"/>
  <c r="Z11"/>
  <c r="Z12"/>
  <c r="Z13"/>
  <c r="Z14"/>
  <c r="Z15"/>
  <c r="Z16"/>
  <c r="Z5"/>
  <c r="Y6"/>
  <c r="Y7"/>
  <c r="Y8"/>
  <c r="Y9"/>
  <c r="Y10"/>
  <c r="Y11"/>
  <c r="Y12"/>
  <c r="Y13"/>
  <c r="Y14"/>
  <c r="Y15"/>
  <c r="Y16"/>
  <c r="Y5"/>
  <c r="W22"/>
  <c r="X18"/>
  <c r="X19"/>
  <c r="X20"/>
  <c r="X21"/>
  <c r="X17"/>
  <c r="X6"/>
  <c r="X7"/>
  <c r="X8"/>
  <c r="X9"/>
  <c r="X10"/>
  <c r="X11"/>
  <c r="X12"/>
  <c r="X13"/>
  <c r="X14"/>
  <c r="X15"/>
  <c r="X16"/>
  <c r="X5"/>
  <c r="W19"/>
  <c r="W17"/>
  <c r="V17"/>
  <c r="V5"/>
  <c r="L21" i="249" l="1"/>
  <c r="J21"/>
  <c r="D21"/>
  <c r="H21" s="1"/>
  <c r="L20"/>
  <c r="J20"/>
  <c r="G20"/>
  <c r="D20"/>
  <c r="M20" s="1"/>
  <c r="L19"/>
  <c r="J19"/>
  <c r="G19"/>
  <c r="D19"/>
  <c r="H19" s="1"/>
  <c r="L18"/>
  <c r="J18"/>
  <c r="G18"/>
  <c r="D18"/>
  <c r="H18" s="1"/>
  <c r="L17"/>
  <c r="J17"/>
  <c r="H17"/>
  <c r="G17"/>
  <c r="D17"/>
  <c r="L16"/>
  <c r="J16"/>
  <c r="G16"/>
  <c r="D16"/>
  <c r="H16" s="1"/>
  <c r="L15"/>
  <c r="J15"/>
  <c r="G15"/>
  <c r="D15"/>
  <c r="H15" s="1"/>
  <c r="L14"/>
  <c r="J14"/>
  <c r="G14"/>
  <c r="D14"/>
  <c r="H14" s="1"/>
  <c r="L13"/>
  <c r="J13"/>
  <c r="G13"/>
  <c r="D13"/>
  <c r="H13" s="1"/>
  <c r="L12"/>
  <c r="J12"/>
  <c r="G12"/>
  <c r="D12"/>
  <c r="G11"/>
  <c r="D11"/>
  <c r="H11" s="1"/>
  <c r="G10"/>
  <c r="D10"/>
  <c r="G9"/>
  <c r="D9"/>
  <c r="H9" s="1"/>
  <c r="G8"/>
  <c r="D8"/>
  <c r="H8" s="1"/>
  <c r="G7"/>
  <c r="D7"/>
  <c r="H7" s="1"/>
  <c r="G6"/>
  <c r="D6"/>
  <c r="H6" s="1"/>
  <c r="K23" i="248"/>
  <c r="M23" s="1"/>
  <c r="J23"/>
  <c r="L23" s="1"/>
  <c r="F23"/>
  <c r="U22" i="247"/>
  <c r="H20" i="249" l="1"/>
  <c r="H12"/>
  <c r="B24"/>
  <c r="M21"/>
  <c r="M19"/>
  <c r="D19" i="172" l="1"/>
  <c r="E19"/>
  <c r="C23" i="245" l="1"/>
  <c r="D23"/>
  <c r="E23"/>
  <c r="F23"/>
  <c r="G23"/>
  <c r="H23"/>
  <c r="I23"/>
  <c r="J23"/>
  <c r="K23"/>
  <c r="B23"/>
  <c r="Q5" i="246"/>
  <c r="R5"/>
  <c r="S5"/>
  <c r="T5"/>
  <c r="U5"/>
  <c r="M5"/>
  <c r="N5"/>
  <c r="O5"/>
  <c r="P5"/>
  <c r="L5"/>
  <c r="M10" i="245"/>
  <c r="C8" l="1"/>
  <c r="B8"/>
  <c r="C7"/>
  <c r="B7"/>
  <c r="C6"/>
  <c r="B6"/>
  <c r="C5"/>
  <c r="B5"/>
  <c r="R6" i="240"/>
  <c r="J12" i="244" l="1"/>
  <c r="B12" s="1"/>
  <c r="M11"/>
  <c r="J11"/>
  <c r="C11"/>
  <c r="M10"/>
  <c r="J10"/>
  <c r="C10"/>
  <c r="M9"/>
  <c r="B9" s="1"/>
  <c r="J9"/>
  <c r="C9"/>
  <c r="M8"/>
  <c r="J8"/>
  <c r="C8"/>
  <c r="M7"/>
  <c r="J7"/>
  <c r="C7"/>
  <c r="M6"/>
  <c r="J6"/>
  <c r="C6"/>
  <c r="M5"/>
  <c r="B5" s="1"/>
  <c r="J5"/>
  <c r="C5"/>
  <c r="O12" i="243"/>
  <c r="L12"/>
  <c r="B12" s="1"/>
  <c r="C12"/>
  <c r="O11"/>
  <c r="L11"/>
  <c r="C11"/>
  <c r="O10"/>
  <c r="L10"/>
  <c r="C10"/>
  <c r="O8"/>
  <c r="L8"/>
  <c r="C8"/>
  <c r="O7"/>
  <c r="L7"/>
  <c r="C7"/>
  <c r="O6"/>
  <c r="L6"/>
  <c r="C6"/>
  <c r="B6" s="1"/>
  <c r="O5"/>
  <c r="L5"/>
  <c r="C5"/>
  <c r="B5" s="1"/>
  <c r="L13" i="242"/>
  <c r="L12"/>
  <c r="O11"/>
  <c r="L11"/>
  <c r="C11"/>
  <c r="O10"/>
  <c r="L10"/>
  <c r="C10"/>
  <c r="O8"/>
  <c r="B8" s="1"/>
  <c r="L8"/>
  <c r="C8"/>
  <c r="O7"/>
  <c r="L7"/>
  <c r="C7"/>
  <c r="O6"/>
  <c r="L6"/>
  <c r="C6"/>
  <c r="O5"/>
  <c r="L5"/>
  <c r="C5"/>
  <c r="Q15" i="241"/>
  <c r="P15"/>
  <c r="O15"/>
  <c r="N15"/>
  <c r="M15"/>
  <c r="L15"/>
  <c r="I15"/>
  <c r="G15"/>
  <c r="F15"/>
  <c r="D15"/>
  <c r="O13"/>
  <c r="L13"/>
  <c r="C13"/>
  <c r="B13" s="1"/>
  <c r="O12"/>
  <c r="L12"/>
  <c r="C12"/>
  <c r="B12" s="1"/>
  <c r="O11"/>
  <c r="L11"/>
  <c r="C11"/>
  <c r="O10"/>
  <c r="L10"/>
  <c r="C10"/>
  <c r="O8"/>
  <c r="L8"/>
  <c r="E8"/>
  <c r="C8" s="1"/>
  <c r="B8" s="1"/>
  <c r="O7"/>
  <c r="L7"/>
  <c r="C7"/>
  <c r="B7" s="1"/>
  <c r="O6"/>
  <c r="L6"/>
  <c r="C6"/>
  <c r="O5"/>
  <c r="L5"/>
  <c r="C5"/>
  <c r="B17" i="240"/>
  <c r="B11" i="243" l="1"/>
  <c r="B8" i="244"/>
  <c r="B11" i="241"/>
  <c r="B10" i="243"/>
  <c r="B10" i="241"/>
  <c r="B5" i="242"/>
  <c r="B10"/>
  <c r="B7" i="243"/>
  <c r="B17" s="1"/>
  <c r="B8"/>
  <c r="R6" s="1"/>
  <c r="B6" i="241"/>
  <c r="R6" s="1"/>
  <c r="B7" i="242"/>
  <c r="B7" i="244"/>
  <c r="B11"/>
  <c r="B5" i="241"/>
  <c r="B17" s="1"/>
  <c r="B6" i="242"/>
  <c r="B11"/>
  <c r="B17" s="1"/>
  <c r="B6" i="244"/>
  <c r="B10"/>
  <c r="B17"/>
  <c r="P6" l="1"/>
  <c r="R6" i="242"/>
  <c r="H19" i="239" l="1"/>
  <c r="K24" l="1"/>
  <c r="J24"/>
  <c r="I24"/>
  <c r="H24"/>
  <c r="K21"/>
  <c r="J21"/>
  <c r="I21"/>
  <c r="H21"/>
  <c r="F21"/>
  <c r="E21"/>
  <c r="D21"/>
  <c r="C21"/>
  <c r="K19"/>
  <c r="J19"/>
  <c r="I19"/>
  <c r="U16"/>
  <c r="U21" s="1"/>
  <c r="T16"/>
  <c r="T21" s="1"/>
  <c r="S16"/>
  <c r="S21" s="1"/>
  <c r="R16"/>
  <c r="P16"/>
  <c r="O16"/>
  <c r="N16"/>
  <c r="G16"/>
  <c r="G21" s="1"/>
  <c r="B16"/>
  <c r="B21" s="1"/>
  <c r="U15"/>
  <c r="T15"/>
  <c r="S15"/>
  <c r="R15"/>
  <c r="P15"/>
  <c r="O15"/>
  <c r="N15"/>
  <c r="G15"/>
  <c r="L15" s="1"/>
  <c r="B15"/>
  <c r="U14"/>
  <c r="T14"/>
  <c r="S14"/>
  <c r="R14"/>
  <c r="P14"/>
  <c r="O14"/>
  <c r="N14"/>
  <c r="G14"/>
  <c r="B14"/>
  <c r="U13"/>
  <c r="T13"/>
  <c r="S13"/>
  <c r="R13"/>
  <c r="P13"/>
  <c r="O13"/>
  <c r="N13"/>
  <c r="G13"/>
  <c r="B13"/>
  <c r="U12"/>
  <c r="T12"/>
  <c r="S12"/>
  <c r="R12"/>
  <c r="P12"/>
  <c r="O12"/>
  <c r="N12"/>
  <c r="G12"/>
  <c r="B12"/>
  <c r="S11"/>
  <c r="R11"/>
  <c r="N11"/>
  <c r="K11"/>
  <c r="P11" s="1"/>
  <c r="J11"/>
  <c r="T11" s="1"/>
  <c r="B11"/>
  <c r="U10"/>
  <c r="T10"/>
  <c r="S10"/>
  <c r="R10"/>
  <c r="P10"/>
  <c r="O10"/>
  <c r="N10"/>
  <c r="G10"/>
  <c r="B10"/>
  <c r="U9"/>
  <c r="T9"/>
  <c r="S9"/>
  <c r="R9"/>
  <c r="P9"/>
  <c r="O9"/>
  <c r="N9"/>
  <c r="G9"/>
  <c r="L9" s="1"/>
  <c r="B9"/>
  <c r="U8"/>
  <c r="T8"/>
  <c r="S8"/>
  <c r="R8"/>
  <c r="P8"/>
  <c r="O8"/>
  <c r="N8"/>
  <c r="G8"/>
  <c r="B8"/>
  <c r="U7"/>
  <c r="T7"/>
  <c r="S7"/>
  <c r="R7"/>
  <c r="P7"/>
  <c r="O7"/>
  <c r="N7"/>
  <c r="G7"/>
  <c r="B7"/>
  <c r="K6"/>
  <c r="K25" s="1"/>
  <c r="J6"/>
  <c r="J25" s="1"/>
  <c r="I6"/>
  <c r="I23" s="1"/>
  <c r="H6"/>
  <c r="H23" s="1"/>
  <c r="F6"/>
  <c r="F25" s="1"/>
  <c r="E6"/>
  <c r="E23" s="1"/>
  <c r="D6"/>
  <c r="D23" s="1"/>
  <c r="C6"/>
  <c r="C25" s="1"/>
  <c r="J5"/>
  <c r="H5"/>
  <c r="E5"/>
  <c r="O5" s="1"/>
  <c r="F5" l="1"/>
  <c r="L12"/>
  <c r="Q12"/>
  <c r="G11"/>
  <c r="L11" s="1"/>
  <c r="D5"/>
  <c r="I5"/>
  <c r="L8"/>
  <c r="Q8"/>
  <c r="L14"/>
  <c r="Q14"/>
  <c r="G6"/>
  <c r="G25" s="1"/>
  <c r="N6"/>
  <c r="N23" s="1"/>
  <c r="L7"/>
  <c r="L13"/>
  <c r="K5"/>
  <c r="O6"/>
  <c r="O23" s="1"/>
  <c r="Q7"/>
  <c r="Q9"/>
  <c r="U11"/>
  <c r="Q11" s="1"/>
  <c r="Q13"/>
  <c r="Q15"/>
  <c r="D25"/>
  <c r="C5"/>
  <c r="S6"/>
  <c r="L10"/>
  <c r="Q10"/>
  <c r="I22"/>
  <c r="H25"/>
  <c r="N5"/>
  <c r="K22"/>
  <c r="H22"/>
  <c r="J22"/>
  <c r="E22"/>
  <c r="L16"/>
  <c r="Q16"/>
  <c r="D22"/>
  <c r="C22"/>
  <c r="M5"/>
  <c r="P5"/>
  <c r="F22"/>
  <c r="P6"/>
  <c r="P23" s="1"/>
  <c r="T6"/>
  <c r="O11"/>
  <c r="G19"/>
  <c r="R21"/>
  <c r="C23"/>
  <c r="G23"/>
  <c r="K23"/>
  <c r="G24"/>
  <c r="E25"/>
  <c r="I25"/>
  <c r="F23"/>
  <c r="J23"/>
  <c r="M6"/>
  <c r="M23" s="1"/>
  <c r="U6"/>
  <c r="B6"/>
  <c r="R6"/>
  <c r="G5" l="1"/>
  <c r="G22" s="1"/>
  <c r="Q21"/>
  <c r="G26" i="253"/>
  <c r="V7" i="239"/>
  <c r="S23"/>
  <c r="S5"/>
  <c r="S22" s="1"/>
  <c r="R5"/>
  <c r="R22" s="1"/>
  <c r="Q6"/>
  <c r="R23"/>
  <c r="T23"/>
  <c r="T5"/>
  <c r="T22" s="1"/>
  <c r="B5"/>
  <c r="B25"/>
  <c r="B23"/>
  <c r="L6"/>
  <c r="L23" s="1"/>
  <c r="U23"/>
  <c r="U5"/>
  <c r="U22" s="1"/>
  <c r="B18" l="1"/>
  <c r="L5"/>
  <c r="B22"/>
  <c r="Q23"/>
  <c r="V23" s="1"/>
  <c r="Q5"/>
  <c r="Q22" s="1"/>
  <c r="V5" l="1"/>
  <c r="B19"/>
  <c r="F5" i="201" l="1"/>
  <c r="E6" i="200"/>
  <c r="H6" i="199"/>
  <c r="H6" i="198"/>
  <c r="F6" i="197"/>
  <c r="H7" i="196"/>
  <c r="J7" i="195"/>
  <c r="J7" i="194"/>
  <c r="J7" i="193"/>
  <c r="J6" i="192"/>
  <c r="P9" i="175" l="1"/>
  <c r="Q9"/>
  <c r="T9"/>
  <c r="U9"/>
  <c r="W9"/>
  <c r="X9"/>
  <c r="Y9"/>
  <c r="P10"/>
  <c r="Q10"/>
  <c r="T10"/>
  <c r="U10"/>
  <c r="W10"/>
  <c r="X10"/>
  <c r="Y10"/>
  <c r="P11"/>
  <c r="Q11"/>
  <c r="T11"/>
  <c r="U11"/>
  <c r="W11"/>
  <c r="X11"/>
  <c r="Y11"/>
  <c r="P12"/>
  <c r="Q12"/>
  <c r="T12"/>
  <c r="U12"/>
  <c r="W12"/>
  <c r="X12"/>
  <c r="Y12"/>
  <c r="P13"/>
  <c r="Q13"/>
  <c r="T13"/>
  <c r="U13"/>
  <c r="W13"/>
  <c r="X13"/>
  <c r="Y13"/>
  <c r="P14"/>
  <c r="Q14"/>
  <c r="T14"/>
  <c r="U14"/>
  <c r="W14"/>
  <c r="X14"/>
  <c r="Y14"/>
  <c r="P15"/>
  <c r="Q15"/>
  <c r="T15"/>
  <c r="U15"/>
  <c r="W15"/>
  <c r="X15"/>
  <c r="Y15"/>
  <c r="P16"/>
  <c r="Q16"/>
  <c r="T16"/>
  <c r="U16"/>
  <c r="W16"/>
  <c r="X16"/>
  <c r="Y16"/>
  <c r="P8"/>
  <c r="Q8"/>
  <c r="T8"/>
  <c r="U8"/>
  <c r="W8"/>
  <c r="X8"/>
  <c r="Y8"/>
  <c r="R9" i="174" l="1"/>
  <c r="S9"/>
  <c r="T9"/>
  <c r="U9"/>
  <c r="X9"/>
  <c r="Y9"/>
  <c r="AA9"/>
  <c r="AB9"/>
  <c r="AC9"/>
  <c r="R10"/>
  <c r="S10"/>
  <c r="T10"/>
  <c r="U10"/>
  <c r="X10"/>
  <c r="Y10"/>
  <c r="AA10"/>
  <c r="AB10"/>
  <c r="AC10"/>
  <c r="R11"/>
  <c r="S11"/>
  <c r="T11"/>
  <c r="U11"/>
  <c r="X11"/>
  <c r="Y11"/>
  <c r="AA11"/>
  <c r="AB11"/>
  <c r="AC11"/>
  <c r="R12"/>
  <c r="S12"/>
  <c r="T12"/>
  <c r="U12"/>
  <c r="X12"/>
  <c r="Y12"/>
  <c r="AA12"/>
  <c r="AB12"/>
  <c r="AC12"/>
  <c r="R13"/>
  <c r="S13"/>
  <c r="T13"/>
  <c r="U13"/>
  <c r="X13"/>
  <c r="Y13"/>
  <c r="AA13"/>
  <c r="AB13"/>
  <c r="AC13"/>
  <c r="R14"/>
  <c r="S14"/>
  <c r="T14"/>
  <c r="U14"/>
  <c r="X14"/>
  <c r="Y14"/>
  <c r="AA14"/>
  <c r="AB14"/>
  <c r="AC14"/>
  <c r="R15"/>
  <c r="S15"/>
  <c r="T15"/>
  <c r="U15"/>
  <c r="X15"/>
  <c r="Y15"/>
  <c r="AA15"/>
  <c r="AB15"/>
  <c r="AC15"/>
  <c r="R16"/>
  <c r="S16"/>
  <c r="T16"/>
  <c r="U16"/>
  <c r="X16"/>
  <c r="Y16"/>
  <c r="AA16"/>
  <c r="AB16"/>
  <c r="AC16"/>
  <c r="R8"/>
  <c r="S8"/>
  <c r="T8"/>
  <c r="U8"/>
  <c r="X8"/>
  <c r="Y8"/>
  <c r="AA8"/>
  <c r="AB8"/>
  <c r="AC8"/>
  <c r="R9" i="173"/>
  <c r="S9"/>
  <c r="T9"/>
  <c r="U9"/>
  <c r="X9"/>
  <c r="Y9"/>
  <c r="AA9"/>
  <c r="AB9"/>
  <c r="AC9"/>
  <c r="R10"/>
  <c r="S10"/>
  <c r="T10"/>
  <c r="U10"/>
  <c r="X10"/>
  <c r="Y10"/>
  <c r="AA10"/>
  <c r="AB10"/>
  <c r="AC10"/>
  <c r="R11"/>
  <c r="S11"/>
  <c r="T11"/>
  <c r="U11"/>
  <c r="X11"/>
  <c r="Y11"/>
  <c r="AA11"/>
  <c r="AB11"/>
  <c r="AC11"/>
  <c r="R12"/>
  <c r="S12"/>
  <c r="T12"/>
  <c r="U12"/>
  <c r="X12"/>
  <c r="Y12"/>
  <c r="AA12"/>
  <c r="AB12"/>
  <c r="AC12"/>
  <c r="R13"/>
  <c r="S13"/>
  <c r="T13"/>
  <c r="U13"/>
  <c r="X13"/>
  <c r="Y13"/>
  <c r="AA13"/>
  <c r="AB13"/>
  <c r="AC13"/>
  <c r="R14"/>
  <c r="S14"/>
  <c r="T14"/>
  <c r="U14"/>
  <c r="X14"/>
  <c r="Y14"/>
  <c r="AA14"/>
  <c r="AB14"/>
  <c r="AC14"/>
  <c r="R15"/>
  <c r="S15"/>
  <c r="T15"/>
  <c r="U15"/>
  <c r="X15"/>
  <c r="Y15"/>
  <c r="AA15"/>
  <c r="AB15"/>
  <c r="AC15"/>
  <c r="R16"/>
  <c r="S16"/>
  <c r="T16"/>
  <c r="U16"/>
  <c r="X16"/>
  <c r="Y16"/>
  <c r="AA16"/>
  <c r="AB16"/>
  <c r="R8"/>
  <c r="S8"/>
  <c r="T8"/>
  <c r="U8"/>
  <c r="X8"/>
  <c r="Y8"/>
  <c r="AA8"/>
  <c r="AB8"/>
  <c r="AC8"/>
  <c r="Q9" i="172"/>
  <c r="R9"/>
  <c r="S9"/>
  <c r="V9"/>
  <c r="W9"/>
  <c r="Y9"/>
  <c r="Z9"/>
  <c r="AA9"/>
  <c r="Q10"/>
  <c r="R10"/>
  <c r="S10"/>
  <c r="V10"/>
  <c r="W10"/>
  <c r="Y10"/>
  <c r="Z10"/>
  <c r="AA10"/>
  <c r="Q11"/>
  <c r="R11"/>
  <c r="S11"/>
  <c r="V11"/>
  <c r="W11"/>
  <c r="Y11"/>
  <c r="Z11"/>
  <c r="AA11"/>
  <c r="Q12"/>
  <c r="R12"/>
  <c r="S12"/>
  <c r="V12"/>
  <c r="W12"/>
  <c r="Y12"/>
  <c r="Z12"/>
  <c r="AA12"/>
  <c r="Q13"/>
  <c r="R13"/>
  <c r="S13"/>
  <c r="V13"/>
  <c r="W13"/>
  <c r="Y13"/>
  <c r="Z13"/>
  <c r="AA13"/>
  <c r="Q14"/>
  <c r="R14"/>
  <c r="S14"/>
  <c r="V14"/>
  <c r="W14"/>
  <c r="Y14"/>
  <c r="Z14"/>
  <c r="AA14"/>
  <c r="Q15"/>
  <c r="R15"/>
  <c r="S15"/>
  <c r="V15"/>
  <c r="W15"/>
  <c r="Y15"/>
  <c r="Z15"/>
  <c r="AA15"/>
  <c r="Q16"/>
  <c r="R16"/>
  <c r="S16"/>
  <c r="V16"/>
  <c r="W16"/>
  <c r="Y16"/>
  <c r="Z16"/>
  <c r="AA16"/>
  <c r="Q8"/>
  <c r="R8"/>
  <c r="S8"/>
  <c r="V8"/>
  <c r="W8"/>
  <c r="Y8"/>
  <c r="Z8"/>
  <c r="AA8"/>
  <c r="P9" i="169"/>
  <c r="Q9"/>
  <c r="P10"/>
  <c r="Q10"/>
  <c r="P11"/>
  <c r="Q11"/>
  <c r="P12"/>
  <c r="Q12"/>
  <c r="P13"/>
  <c r="Q13"/>
  <c r="P14"/>
  <c r="Q14"/>
  <c r="P15"/>
  <c r="Q15"/>
  <c r="M7" i="170"/>
  <c r="N7"/>
  <c r="P7"/>
  <c r="Q7"/>
  <c r="M8"/>
  <c r="N8"/>
  <c r="P8"/>
  <c r="Q8"/>
  <c r="M9"/>
  <c r="N9"/>
  <c r="P9"/>
  <c r="Q9"/>
  <c r="M10"/>
  <c r="N10"/>
  <c r="P10"/>
  <c r="Q10"/>
  <c r="M11"/>
  <c r="N11"/>
  <c r="P11"/>
  <c r="Q11"/>
  <c r="M12"/>
  <c r="N12"/>
  <c r="P12"/>
  <c r="Q12"/>
  <c r="M13"/>
  <c r="N13"/>
  <c r="P13"/>
  <c r="Q13"/>
  <c r="M14"/>
  <c r="N14"/>
  <c r="P14"/>
  <c r="Q14"/>
  <c r="H15"/>
  <c r="Q15" s="1"/>
  <c r="G15"/>
  <c r="P15" s="1"/>
  <c r="E15"/>
  <c r="N15" s="1"/>
  <c r="D15"/>
  <c r="M15" s="1"/>
  <c r="L7" i="169" l="1"/>
  <c r="N7"/>
  <c r="O7"/>
  <c r="P7"/>
  <c r="Q7"/>
  <c r="L8"/>
  <c r="N8"/>
  <c r="O8"/>
  <c r="P8"/>
  <c r="Q8"/>
  <c r="L9"/>
  <c r="M9"/>
  <c r="N9"/>
  <c r="O9"/>
  <c r="L10"/>
  <c r="M10"/>
  <c r="N10"/>
  <c r="O10"/>
  <c r="L11"/>
  <c r="M11"/>
  <c r="N11"/>
  <c r="O11"/>
  <c r="L12"/>
  <c r="M12"/>
  <c r="N12"/>
  <c r="O12"/>
  <c r="L13"/>
  <c r="M13"/>
  <c r="N13"/>
  <c r="O13"/>
  <c r="L14"/>
  <c r="M14"/>
  <c r="N14"/>
  <c r="O14"/>
  <c r="L15"/>
  <c r="M15"/>
  <c r="N15"/>
  <c r="O15"/>
  <c r="G7" i="179" l="1"/>
  <c r="G6"/>
  <c r="F7"/>
  <c r="F6"/>
  <c r="D7"/>
  <c r="E7"/>
  <c r="E6"/>
  <c r="D6"/>
  <c r="K20" i="176"/>
  <c r="H20"/>
  <c r="K19"/>
  <c r="H19"/>
  <c r="G19" s="1"/>
  <c r="K17"/>
  <c r="H17"/>
  <c r="K16"/>
  <c r="H16"/>
  <c r="K14"/>
  <c r="H14"/>
  <c r="K13"/>
  <c r="H13"/>
  <c r="D5" i="40"/>
  <c r="D12" s="1"/>
  <c r="E5"/>
  <c r="E12" s="1"/>
  <c r="F5"/>
  <c r="F12" s="1"/>
  <c r="G5"/>
  <c r="G12" s="1"/>
  <c r="H5"/>
  <c r="H12" s="1"/>
  <c r="I5"/>
  <c r="I12" s="1"/>
  <c r="J5"/>
  <c r="J12" s="1"/>
  <c r="K5"/>
  <c r="K12" s="1"/>
  <c r="M5"/>
  <c r="M12" s="1"/>
  <c r="N5"/>
  <c r="N12" s="1"/>
  <c r="P5"/>
  <c r="P12" s="1"/>
  <c r="Q5"/>
  <c r="Q12" s="1"/>
  <c r="L6"/>
  <c r="O6"/>
  <c r="C7"/>
  <c r="L7"/>
  <c r="O7"/>
  <c r="C8"/>
  <c r="C9"/>
  <c r="C10"/>
  <c r="C15" i="169"/>
  <c r="D18"/>
  <c r="E18"/>
  <c r="F18"/>
  <c r="G18"/>
  <c r="P21" i="237"/>
  <c r="O9" i="42"/>
  <c r="I6"/>
  <c r="I11" s="1"/>
  <c r="D6"/>
  <c r="C9"/>
  <c r="G5" i="41"/>
  <c r="G12" s="1"/>
  <c r="C10"/>
  <c r="C5" s="1"/>
  <c r="C12" s="1"/>
  <c r="O15" i="178"/>
  <c r="N15"/>
  <c r="M15"/>
  <c r="K15"/>
  <c r="J15"/>
  <c r="I15" s="1"/>
  <c r="G15"/>
  <c r="F15"/>
  <c r="E15"/>
  <c r="D15"/>
  <c r="O12"/>
  <c r="N12"/>
  <c r="M12"/>
  <c r="K12"/>
  <c r="J12"/>
  <c r="G12"/>
  <c r="F12"/>
  <c r="E12"/>
  <c r="D12"/>
  <c r="O9"/>
  <c r="N9"/>
  <c r="M9"/>
  <c r="L9" s="1"/>
  <c r="K9"/>
  <c r="J9"/>
  <c r="I9" s="1"/>
  <c r="G9"/>
  <c r="F9"/>
  <c r="F6" s="1"/>
  <c r="E9"/>
  <c r="D9"/>
  <c r="N18" i="176"/>
  <c r="M18"/>
  <c r="L18"/>
  <c r="J18"/>
  <c r="I18"/>
  <c r="F18"/>
  <c r="E18"/>
  <c r="D18"/>
  <c r="N15"/>
  <c r="M15"/>
  <c r="L15"/>
  <c r="J15"/>
  <c r="I15"/>
  <c r="F15"/>
  <c r="E15"/>
  <c r="D15"/>
  <c r="N12"/>
  <c r="M12"/>
  <c r="L12"/>
  <c r="J12"/>
  <c r="I12"/>
  <c r="F12"/>
  <c r="E12"/>
  <c r="D12"/>
  <c r="N9"/>
  <c r="M9"/>
  <c r="M6" s="1"/>
  <c r="L9"/>
  <c r="J9"/>
  <c r="I9"/>
  <c r="E9"/>
  <c r="F9"/>
  <c r="D9"/>
  <c r="H7" i="184"/>
  <c r="G7"/>
  <c r="H6"/>
  <c r="G6"/>
  <c r="F6" s="1"/>
  <c r="E7"/>
  <c r="D7"/>
  <c r="E6"/>
  <c r="D6"/>
  <c r="C6" s="1"/>
  <c r="F6" i="188"/>
  <c r="F7"/>
  <c r="F8"/>
  <c r="F9"/>
  <c r="F10"/>
  <c r="F11"/>
  <c r="F12"/>
  <c r="F13"/>
  <c r="F14"/>
  <c r="F15"/>
  <c r="F16"/>
  <c r="F17"/>
  <c r="C6"/>
  <c r="C7"/>
  <c r="C8"/>
  <c r="C9"/>
  <c r="C10"/>
  <c r="C11"/>
  <c r="C12"/>
  <c r="C13"/>
  <c r="C14"/>
  <c r="C15"/>
  <c r="C16"/>
  <c r="B16" s="1"/>
  <c r="C17"/>
  <c r="B17" s="1"/>
  <c r="B6"/>
  <c r="B7"/>
  <c r="B8"/>
  <c r="B9"/>
  <c r="B10"/>
  <c r="B11"/>
  <c r="B12"/>
  <c r="B13"/>
  <c r="B14"/>
  <c r="B15"/>
  <c r="F6" i="187"/>
  <c r="F7"/>
  <c r="F8"/>
  <c r="F9"/>
  <c r="F10"/>
  <c r="F11"/>
  <c r="F12"/>
  <c r="C12"/>
  <c r="F13"/>
  <c r="F14"/>
  <c r="F15"/>
  <c r="F16"/>
  <c r="F17"/>
  <c r="C6"/>
  <c r="C7"/>
  <c r="C8"/>
  <c r="C9"/>
  <c r="B9" s="1"/>
  <c r="C10"/>
  <c r="C11"/>
  <c r="C13"/>
  <c r="C14"/>
  <c r="C15"/>
  <c r="C16"/>
  <c r="B16" s="1"/>
  <c r="C17"/>
  <c r="F6" i="186"/>
  <c r="F7"/>
  <c r="F8"/>
  <c r="F9"/>
  <c r="F10"/>
  <c r="F11"/>
  <c r="F12"/>
  <c r="F13"/>
  <c r="F14"/>
  <c r="F15"/>
  <c r="F16"/>
  <c r="F17"/>
  <c r="C6"/>
  <c r="C7"/>
  <c r="C8"/>
  <c r="C9"/>
  <c r="C10"/>
  <c r="C11"/>
  <c r="C12"/>
  <c r="C13"/>
  <c r="C14"/>
  <c r="C15"/>
  <c r="C16"/>
  <c r="C17"/>
  <c r="B17" s="1"/>
  <c r="B6"/>
  <c r="B7"/>
  <c r="B8"/>
  <c r="B9"/>
  <c r="B10"/>
  <c r="B11"/>
  <c r="B12"/>
  <c r="B13"/>
  <c r="B14"/>
  <c r="B15"/>
  <c r="B16"/>
  <c r="F6" i="185"/>
  <c r="F7"/>
  <c r="F8"/>
  <c r="F9"/>
  <c r="F10"/>
  <c r="C10"/>
  <c r="F11"/>
  <c r="C11"/>
  <c r="F12"/>
  <c r="F13"/>
  <c r="F14"/>
  <c r="C14"/>
  <c r="F15"/>
  <c r="C15"/>
  <c r="F16"/>
  <c r="F17"/>
  <c r="C6"/>
  <c r="C7"/>
  <c r="C8"/>
  <c r="C9"/>
  <c r="B9" s="1"/>
  <c r="C12"/>
  <c r="B12" s="1"/>
  <c r="C13"/>
  <c r="C16"/>
  <c r="B16" s="1"/>
  <c r="C17"/>
  <c r="B6"/>
  <c r="B7"/>
  <c r="D8" i="184"/>
  <c r="E8"/>
  <c r="D9"/>
  <c r="E9"/>
  <c r="D10"/>
  <c r="E10"/>
  <c r="D11"/>
  <c r="E11"/>
  <c r="D12"/>
  <c r="E12"/>
  <c r="D13"/>
  <c r="E13"/>
  <c r="D14"/>
  <c r="E14"/>
  <c r="D15"/>
  <c r="E15"/>
  <c r="D16"/>
  <c r="E16"/>
  <c r="D17"/>
  <c r="E17"/>
  <c r="B6" i="183"/>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C6" i="182"/>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C6" i="181"/>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 i="180"/>
  <c r="B6"/>
  <c r="B7"/>
  <c r="B8"/>
  <c r="B9"/>
  <c r="B10"/>
  <c r="B11"/>
  <c r="B12"/>
  <c r="B13"/>
  <c r="B14"/>
  <c r="B15"/>
  <c r="B16"/>
  <c r="B17"/>
  <c r="B18"/>
  <c r="B19"/>
  <c r="B20"/>
  <c r="B21"/>
  <c r="B22"/>
  <c r="B23"/>
  <c r="B24"/>
  <c r="B25"/>
  <c r="B26"/>
  <c r="B27"/>
  <c r="B28"/>
  <c r="L17" i="178"/>
  <c r="I17"/>
  <c r="C17"/>
  <c r="L16"/>
  <c r="I16"/>
  <c r="G7"/>
  <c r="F7"/>
  <c r="I14"/>
  <c r="G8"/>
  <c r="C14"/>
  <c r="O7"/>
  <c r="L13"/>
  <c r="O8"/>
  <c r="N8"/>
  <c r="L11"/>
  <c r="J8"/>
  <c r="F8"/>
  <c r="E8"/>
  <c r="N7"/>
  <c r="M7"/>
  <c r="K7"/>
  <c r="I10"/>
  <c r="E7"/>
  <c r="C10"/>
  <c r="N8" i="176"/>
  <c r="M8"/>
  <c r="L8"/>
  <c r="N7"/>
  <c r="M7"/>
  <c r="L7"/>
  <c r="K7" s="1"/>
  <c r="J8"/>
  <c r="I8"/>
  <c r="J7"/>
  <c r="I7"/>
  <c r="H7" s="1"/>
  <c r="G7" s="1"/>
  <c r="D7"/>
  <c r="E7"/>
  <c r="F7"/>
  <c r="D8"/>
  <c r="E8"/>
  <c r="F8"/>
  <c r="N6"/>
  <c r="J6"/>
  <c r="I6"/>
  <c r="D6"/>
  <c r="H18"/>
  <c r="C19"/>
  <c r="D6" i="175"/>
  <c r="P6" s="1"/>
  <c r="E6"/>
  <c r="Q6" s="1"/>
  <c r="H6"/>
  <c r="T6" s="1"/>
  <c r="I6"/>
  <c r="U6" s="1"/>
  <c r="K6"/>
  <c r="W6" s="1"/>
  <c r="L6"/>
  <c r="X6" s="1"/>
  <c r="M6"/>
  <c r="Y6" s="1"/>
  <c r="J16"/>
  <c r="G16"/>
  <c r="S16" s="1"/>
  <c r="C16"/>
  <c r="O16" s="1"/>
  <c r="D6" i="174"/>
  <c r="R6" s="1"/>
  <c r="E6"/>
  <c r="S6" s="1"/>
  <c r="F6"/>
  <c r="T6" s="1"/>
  <c r="G6"/>
  <c r="U6" s="1"/>
  <c r="J6"/>
  <c r="X6" s="1"/>
  <c r="K6"/>
  <c r="Y6" s="1"/>
  <c r="M6"/>
  <c r="AA6" s="1"/>
  <c r="N6"/>
  <c r="AB6" s="1"/>
  <c r="O6"/>
  <c r="AC6" s="1"/>
  <c r="L16"/>
  <c r="Z16" s="1"/>
  <c r="I16"/>
  <c r="C16"/>
  <c r="Q16" s="1"/>
  <c r="D6" i="173"/>
  <c r="R6" s="1"/>
  <c r="E6"/>
  <c r="S6" s="1"/>
  <c r="F6"/>
  <c r="T6" s="1"/>
  <c r="G6"/>
  <c r="U6" s="1"/>
  <c r="J6"/>
  <c r="X6" s="1"/>
  <c r="K6"/>
  <c r="Y6" s="1"/>
  <c r="M6"/>
  <c r="AA6" s="1"/>
  <c r="N6"/>
  <c r="AB6" s="1"/>
  <c r="O16"/>
  <c r="L16"/>
  <c r="Z16" s="1"/>
  <c r="I16"/>
  <c r="C16"/>
  <c r="Q16" s="1"/>
  <c r="D6" i="172"/>
  <c r="Q6" s="1"/>
  <c r="E6"/>
  <c r="R6" s="1"/>
  <c r="F6"/>
  <c r="S6" s="1"/>
  <c r="I6"/>
  <c r="V6" s="1"/>
  <c r="J6"/>
  <c r="W6" s="1"/>
  <c r="L6"/>
  <c r="Y6" s="1"/>
  <c r="M6"/>
  <c r="Z6" s="1"/>
  <c r="N6"/>
  <c r="AA6" s="1"/>
  <c r="K16"/>
  <c r="H16"/>
  <c r="U16" s="1"/>
  <c r="C16"/>
  <c r="P16" s="1"/>
  <c r="H5" i="170"/>
  <c r="Q5" s="1"/>
  <c r="E5"/>
  <c r="N5" s="1"/>
  <c r="D5"/>
  <c r="M5" s="1"/>
  <c r="G5" i="169"/>
  <c r="O5" s="1"/>
  <c r="F5"/>
  <c r="N5" s="1"/>
  <c r="P21" i="238"/>
  <c r="L21"/>
  <c r="G21"/>
  <c r="P20"/>
  <c r="L20"/>
  <c r="G20"/>
  <c r="F20"/>
  <c r="E20"/>
  <c r="D20"/>
  <c r="C20"/>
  <c r="P19"/>
  <c r="L19"/>
  <c r="G19"/>
  <c r="F19"/>
  <c r="E19"/>
  <c r="D19"/>
  <c r="C19"/>
  <c r="P18"/>
  <c r="L18"/>
  <c r="G18"/>
  <c r="F18"/>
  <c r="E18"/>
  <c r="D18"/>
  <c r="C18"/>
  <c r="P17"/>
  <c r="L17"/>
  <c r="G17"/>
  <c r="F17"/>
  <c r="E17"/>
  <c r="D17"/>
  <c r="C17"/>
  <c r="S16"/>
  <c r="R16"/>
  <c r="O16"/>
  <c r="N16"/>
  <c r="G16"/>
  <c r="F16"/>
  <c r="C16"/>
  <c r="P15"/>
  <c r="L15"/>
  <c r="G15"/>
  <c r="F15"/>
  <c r="E15"/>
  <c r="D15"/>
  <c r="C15"/>
  <c r="P14"/>
  <c r="L14"/>
  <c r="G14"/>
  <c r="F14"/>
  <c r="E14"/>
  <c r="D14"/>
  <c r="C14"/>
  <c r="P13"/>
  <c r="L13"/>
  <c r="G13"/>
  <c r="F13"/>
  <c r="E13"/>
  <c r="D13"/>
  <c r="C13"/>
  <c r="P12"/>
  <c r="L12"/>
  <c r="G12"/>
  <c r="F12"/>
  <c r="E12"/>
  <c r="D12"/>
  <c r="C12"/>
  <c r="P11"/>
  <c r="L11"/>
  <c r="G11"/>
  <c r="F11"/>
  <c r="E11"/>
  <c r="D11"/>
  <c r="C11"/>
  <c r="P10"/>
  <c r="L10"/>
  <c r="G10"/>
  <c r="F10"/>
  <c r="E10"/>
  <c r="D10"/>
  <c r="C10"/>
  <c r="P9"/>
  <c r="L9"/>
  <c r="G9"/>
  <c r="F9"/>
  <c r="E9"/>
  <c r="D9"/>
  <c r="C9"/>
  <c r="P8"/>
  <c r="L8"/>
  <c r="G8"/>
  <c r="F8"/>
  <c r="E8"/>
  <c r="D8"/>
  <c r="C8"/>
  <c r="P7"/>
  <c r="L7"/>
  <c r="G7"/>
  <c r="F7"/>
  <c r="E7"/>
  <c r="D7"/>
  <c r="C7"/>
  <c r="P6"/>
  <c r="L6"/>
  <c r="G6"/>
  <c r="F6"/>
  <c r="E6"/>
  <c r="D6"/>
  <c r="C6"/>
  <c r="P5"/>
  <c r="L5"/>
  <c r="G5"/>
  <c r="F5"/>
  <c r="E5"/>
  <c r="D5"/>
  <c r="C5"/>
  <c r="W21" i="237"/>
  <c r="T21"/>
  <c r="L21"/>
  <c r="G21"/>
  <c r="W20"/>
  <c r="T20"/>
  <c r="P20"/>
  <c r="L20"/>
  <c r="G20"/>
  <c r="F20"/>
  <c r="E20"/>
  <c r="D20"/>
  <c r="C20"/>
  <c r="W19"/>
  <c r="T19"/>
  <c r="P19"/>
  <c r="L19"/>
  <c r="G19"/>
  <c r="F19"/>
  <c r="E19"/>
  <c r="D19"/>
  <c r="C19"/>
  <c r="W18"/>
  <c r="T18"/>
  <c r="P18"/>
  <c r="L18"/>
  <c r="G18"/>
  <c r="F18"/>
  <c r="E18"/>
  <c r="D18"/>
  <c r="C18"/>
  <c r="W17"/>
  <c r="T17"/>
  <c r="P17"/>
  <c r="L17"/>
  <c r="G17"/>
  <c r="F17"/>
  <c r="E17"/>
  <c r="D17"/>
  <c r="C17"/>
  <c r="W16"/>
  <c r="U16"/>
  <c r="T16" s="1"/>
  <c r="S16"/>
  <c r="R16"/>
  <c r="O16"/>
  <c r="N16"/>
  <c r="G16"/>
  <c r="F16"/>
  <c r="C16"/>
  <c r="W15"/>
  <c r="T15"/>
  <c r="P15"/>
  <c r="L15"/>
  <c r="G15"/>
  <c r="F15"/>
  <c r="E15"/>
  <c r="D15"/>
  <c r="C15"/>
  <c r="W14"/>
  <c r="T14"/>
  <c r="P14"/>
  <c r="G14"/>
  <c r="L14"/>
  <c r="F14"/>
  <c r="E14"/>
  <c r="D14"/>
  <c r="C14"/>
  <c r="W13"/>
  <c r="T13"/>
  <c r="P13"/>
  <c r="L13"/>
  <c r="G13"/>
  <c r="F13"/>
  <c r="E13"/>
  <c r="D13"/>
  <c r="C13"/>
  <c r="W12"/>
  <c r="T12"/>
  <c r="P12"/>
  <c r="L12"/>
  <c r="G12"/>
  <c r="F12"/>
  <c r="E12"/>
  <c r="D12"/>
  <c r="C12"/>
  <c r="W11"/>
  <c r="T11"/>
  <c r="P11"/>
  <c r="L11"/>
  <c r="G11"/>
  <c r="F11"/>
  <c r="E11"/>
  <c r="D11"/>
  <c r="C11"/>
  <c r="W10"/>
  <c r="T10"/>
  <c r="P10"/>
  <c r="G10"/>
  <c r="L10"/>
  <c r="F10"/>
  <c r="E10"/>
  <c r="D10"/>
  <c r="C10"/>
  <c r="W9"/>
  <c r="T9"/>
  <c r="P9"/>
  <c r="L9"/>
  <c r="G9"/>
  <c r="F9"/>
  <c r="E9"/>
  <c r="D9"/>
  <c r="C9"/>
  <c r="W8"/>
  <c r="T8"/>
  <c r="P8"/>
  <c r="L8"/>
  <c r="G8"/>
  <c r="F8"/>
  <c r="E8"/>
  <c r="D8"/>
  <c r="C8"/>
  <c r="W7"/>
  <c r="T7"/>
  <c r="P7"/>
  <c r="L7"/>
  <c r="G7"/>
  <c r="F7"/>
  <c r="E7"/>
  <c r="D7"/>
  <c r="C7"/>
  <c r="W6"/>
  <c r="P6"/>
  <c r="L6"/>
  <c r="G6"/>
  <c r="F6"/>
  <c r="E6"/>
  <c r="D6"/>
  <c r="C6"/>
  <c r="W5"/>
  <c r="P5"/>
  <c r="L5"/>
  <c r="G5"/>
  <c r="F5"/>
  <c r="E5"/>
  <c r="D5"/>
  <c r="C5"/>
  <c r="B12" i="238"/>
  <c r="L10" i="178"/>
  <c r="H10" s="1"/>
  <c r="B10" s="1"/>
  <c r="C11"/>
  <c r="C16"/>
  <c r="D8"/>
  <c r="C8" s="1"/>
  <c r="K8"/>
  <c r="C13"/>
  <c r="I13"/>
  <c r="L14"/>
  <c r="D7"/>
  <c r="J7"/>
  <c r="I7" s="1"/>
  <c r="M8"/>
  <c r="L8" s="1"/>
  <c r="I11"/>
  <c r="C16" i="176"/>
  <c r="H15"/>
  <c r="C20"/>
  <c r="F15" i="170"/>
  <c r="O15" s="1"/>
  <c r="D5" i="169"/>
  <c r="L5" s="1"/>
  <c r="G5" i="170"/>
  <c r="H9" i="176"/>
  <c r="H12"/>
  <c r="C14"/>
  <c r="C17"/>
  <c r="C11"/>
  <c r="H11"/>
  <c r="C13"/>
  <c r="K11"/>
  <c r="C10"/>
  <c r="K10"/>
  <c r="H10"/>
  <c r="B16" i="201"/>
  <c r="B18" i="200"/>
  <c r="B18" i="199"/>
  <c r="B18" i="198"/>
  <c r="B18" i="197"/>
  <c r="B20" i="196"/>
  <c r="B18" i="195"/>
  <c r="B19" i="194"/>
  <c r="B19" i="193"/>
  <c r="B17" i="192"/>
  <c r="E19" i="174"/>
  <c r="C17" i="200"/>
  <c r="D17"/>
  <c r="B17"/>
  <c r="C17" i="199"/>
  <c r="D17"/>
  <c r="E17"/>
  <c r="F17"/>
  <c r="G17"/>
  <c r="B17"/>
  <c r="C17" i="198"/>
  <c r="D17"/>
  <c r="E17"/>
  <c r="F17"/>
  <c r="G17"/>
  <c r="B17"/>
  <c r="C17" i="197"/>
  <c r="D17"/>
  <c r="E17"/>
  <c r="B17"/>
  <c r="C19" i="196"/>
  <c r="D19"/>
  <c r="E19"/>
  <c r="F19"/>
  <c r="G19"/>
  <c r="B19"/>
  <c r="C18" i="194"/>
  <c r="B18"/>
  <c r="B18" i="193"/>
  <c r="C18"/>
  <c r="H18"/>
  <c r="I18"/>
  <c r="C9" i="179"/>
  <c r="B9" s="1"/>
  <c r="C10"/>
  <c r="B10" s="1"/>
  <c r="C11"/>
  <c r="B11" s="1"/>
  <c r="C12"/>
  <c r="B12" s="1"/>
  <c r="C13"/>
  <c r="B13" s="1"/>
  <c r="C14"/>
  <c r="B14" s="1"/>
  <c r="C15"/>
  <c r="B15" s="1"/>
  <c r="C16"/>
  <c r="B16" s="1"/>
  <c r="C17"/>
  <c r="B17" s="1"/>
  <c r="C18"/>
  <c r="B18" s="1"/>
  <c r="C19"/>
  <c r="B19" s="1"/>
  <c r="C20"/>
  <c r="B20" s="1"/>
  <c r="C21"/>
  <c r="B21" s="1"/>
  <c r="C22"/>
  <c r="B22" s="1"/>
  <c r="C23"/>
  <c r="B23" s="1"/>
  <c r="C24"/>
  <c r="B24" s="1"/>
  <c r="C25"/>
  <c r="B25" s="1"/>
  <c r="C26"/>
  <c r="B26" s="1"/>
  <c r="C27"/>
  <c r="C28"/>
  <c r="B28" s="1"/>
  <c r="C29"/>
  <c r="B29" s="1"/>
  <c r="C30"/>
  <c r="B30" s="1"/>
  <c r="C31"/>
  <c r="B31" s="1"/>
  <c r="C32"/>
  <c r="B32" s="1"/>
  <c r="C33"/>
  <c r="B33" s="1"/>
  <c r="C34"/>
  <c r="B34" s="1"/>
  <c r="C35"/>
  <c r="B35" s="1"/>
  <c r="C36"/>
  <c r="B36" s="1"/>
  <c r="C37"/>
  <c r="B37" s="1"/>
  <c r="C38"/>
  <c r="B38" s="1"/>
  <c r="C39"/>
  <c r="B39" s="1"/>
  <c r="C40"/>
  <c r="B40" s="1"/>
  <c r="C41"/>
  <c r="B41" s="1"/>
  <c r="C42"/>
  <c r="B42" s="1"/>
  <c r="C43"/>
  <c r="B43" s="1"/>
  <c r="C44"/>
  <c r="B44" s="1"/>
  <c r="C45"/>
  <c r="B45" s="1"/>
  <c r="C46"/>
  <c r="B46" s="1"/>
  <c r="C47"/>
  <c r="B47" s="1"/>
  <c r="C48"/>
  <c r="B48" s="1"/>
  <c r="C49"/>
  <c r="B49" s="1"/>
  <c r="C50"/>
  <c r="B50" s="1"/>
  <c r="C51"/>
  <c r="B51" s="1"/>
  <c r="C52"/>
  <c r="B52" s="1"/>
  <c r="C8"/>
  <c r="B8" s="1"/>
  <c r="L11" i="173"/>
  <c r="Z11" s="1"/>
  <c r="L12"/>
  <c r="Z12" s="1"/>
  <c r="L13"/>
  <c r="Z13" s="1"/>
  <c r="L14"/>
  <c r="H14" s="1"/>
  <c r="L15"/>
  <c r="Z15" s="1"/>
  <c r="L10"/>
  <c r="Z10" s="1"/>
  <c r="I11"/>
  <c r="W11" s="1"/>
  <c r="I12"/>
  <c r="W12" s="1"/>
  <c r="I13"/>
  <c r="W13" s="1"/>
  <c r="I14"/>
  <c r="W14" s="1"/>
  <c r="I15"/>
  <c r="W15" s="1"/>
  <c r="I10"/>
  <c r="K10" i="172"/>
  <c r="X10" s="1"/>
  <c r="K11"/>
  <c r="X11" s="1"/>
  <c r="K12"/>
  <c r="X12" s="1"/>
  <c r="K13"/>
  <c r="K14"/>
  <c r="X14" s="1"/>
  <c r="K15"/>
  <c r="X15" s="1"/>
  <c r="H10"/>
  <c r="U10" s="1"/>
  <c r="H11"/>
  <c r="H12"/>
  <c r="H13"/>
  <c r="U13" s="1"/>
  <c r="H14"/>
  <c r="U14" s="1"/>
  <c r="H15"/>
  <c r="B27" i="179"/>
  <c r="G14" i="172"/>
  <c r="H5" i="188"/>
  <c r="G5"/>
  <c r="E5"/>
  <c r="D5"/>
  <c r="H5" i="187"/>
  <c r="F5" s="1"/>
  <c r="G5"/>
  <c r="E5"/>
  <c r="D5"/>
  <c r="H5" i="186"/>
  <c r="F5" s="1"/>
  <c r="G5"/>
  <c r="E5"/>
  <c r="D5"/>
  <c r="H5" i="185"/>
  <c r="G5"/>
  <c r="E5"/>
  <c r="D5"/>
  <c r="H17" i="184"/>
  <c r="G17"/>
  <c r="H16"/>
  <c r="G16"/>
  <c r="H15"/>
  <c r="G15"/>
  <c r="H14"/>
  <c r="G14"/>
  <c r="H13"/>
  <c r="G13"/>
  <c r="H12"/>
  <c r="G12"/>
  <c r="H11"/>
  <c r="G11"/>
  <c r="H10"/>
  <c r="G10"/>
  <c r="H9"/>
  <c r="G9"/>
  <c r="H8"/>
  <c r="G8"/>
  <c r="D5" i="183"/>
  <c r="C5"/>
  <c r="G5" i="182"/>
  <c r="F5"/>
  <c r="E5"/>
  <c r="D5"/>
  <c r="G5" i="181"/>
  <c r="F5"/>
  <c r="E5"/>
  <c r="D5"/>
  <c r="E4" i="180"/>
  <c r="D4"/>
  <c r="C4"/>
  <c r="G5" i="179"/>
  <c r="F5"/>
  <c r="E5"/>
  <c r="D5"/>
  <c r="L12" i="178"/>
  <c r="J15" i="175"/>
  <c r="V15" s="1"/>
  <c r="G15"/>
  <c r="S15" s="1"/>
  <c r="C15"/>
  <c r="J14"/>
  <c r="V14" s="1"/>
  <c r="G14"/>
  <c r="S14" s="1"/>
  <c r="C14"/>
  <c r="O14" s="1"/>
  <c r="J13"/>
  <c r="G13"/>
  <c r="S13" s="1"/>
  <c r="C13"/>
  <c r="O13" s="1"/>
  <c r="J12"/>
  <c r="V12" s="1"/>
  <c r="G12"/>
  <c r="C12"/>
  <c r="O12" s="1"/>
  <c r="J11"/>
  <c r="V11" s="1"/>
  <c r="G11"/>
  <c r="S11" s="1"/>
  <c r="C11"/>
  <c r="O11" s="1"/>
  <c r="J10"/>
  <c r="V10" s="1"/>
  <c r="G10"/>
  <c r="S10" s="1"/>
  <c r="C10"/>
  <c r="J9"/>
  <c r="V9" s="1"/>
  <c r="G9"/>
  <c r="S9" s="1"/>
  <c r="C9"/>
  <c r="O9" s="1"/>
  <c r="J8"/>
  <c r="G8"/>
  <c r="S8" s="1"/>
  <c r="C8"/>
  <c r="O8" s="1"/>
  <c r="J7"/>
  <c r="F7" s="1"/>
  <c r="G7"/>
  <c r="C7"/>
  <c r="L15" i="174"/>
  <c r="Z15" s="1"/>
  <c r="I15"/>
  <c r="C15"/>
  <c r="Q15" s="1"/>
  <c r="L14"/>
  <c r="Z14" s="1"/>
  <c r="I14"/>
  <c r="W14" s="1"/>
  <c r="C14"/>
  <c r="Q14" s="1"/>
  <c r="L13"/>
  <c r="Z13" s="1"/>
  <c r="I13"/>
  <c r="W13" s="1"/>
  <c r="C13"/>
  <c r="L12"/>
  <c r="Z12" s="1"/>
  <c r="I12"/>
  <c r="W12" s="1"/>
  <c r="C12"/>
  <c r="Q12" s="1"/>
  <c r="L11"/>
  <c r="I11"/>
  <c r="W11" s="1"/>
  <c r="C11"/>
  <c r="Q11" s="1"/>
  <c r="L10"/>
  <c r="Z10" s="1"/>
  <c r="I10"/>
  <c r="C10"/>
  <c r="Q10" s="1"/>
  <c r="L9"/>
  <c r="Z9" s="1"/>
  <c r="I9"/>
  <c r="C9"/>
  <c r="Q9" s="1"/>
  <c r="L8"/>
  <c r="Z8" s="1"/>
  <c r="I8"/>
  <c r="W8" s="1"/>
  <c r="C8"/>
  <c r="L7"/>
  <c r="I7"/>
  <c r="C7"/>
  <c r="C15" i="173"/>
  <c r="Q15" s="1"/>
  <c r="C14"/>
  <c r="Q14" s="1"/>
  <c r="C13"/>
  <c r="Q13" s="1"/>
  <c r="C12"/>
  <c r="Q12" s="1"/>
  <c r="C11"/>
  <c r="Q11" s="1"/>
  <c r="C10"/>
  <c r="Q10" s="1"/>
  <c r="L9"/>
  <c r="Z9" s="1"/>
  <c r="I9"/>
  <c r="C9"/>
  <c r="Q9" s="1"/>
  <c r="L8"/>
  <c r="Z8" s="1"/>
  <c r="I8"/>
  <c r="W8" s="1"/>
  <c r="C8"/>
  <c r="L7"/>
  <c r="I7"/>
  <c r="H7" s="1"/>
  <c r="C7"/>
  <c r="C15" i="172"/>
  <c r="C14"/>
  <c r="P14" s="1"/>
  <c r="C13"/>
  <c r="P13" s="1"/>
  <c r="C12"/>
  <c r="C11"/>
  <c r="P11" s="1"/>
  <c r="C10"/>
  <c r="K9"/>
  <c r="H9"/>
  <c r="U9" s="1"/>
  <c r="C9"/>
  <c r="P9" s="1"/>
  <c r="K8"/>
  <c r="X8" s="1"/>
  <c r="H8"/>
  <c r="C8"/>
  <c r="P8" s="1"/>
  <c r="K7"/>
  <c r="H7"/>
  <c r="G7" s="1"/>
  <c r="C7"/>
  <c r="F14" i="170"/>
  <c r="O14" s="1"/>
  <c r="C14"/>
  <c r="L14" s="1"/>
  <c r="F13"/>
  <c r="O13" s="1"/>
  <c r="C13"/>
  <c r="L13" s="1"/>
  <c r="F12"/>
  <c r="O12" s="1"/>
  <c r="C12"/>
  <c r="F11"/>
  <c r="O11" s="1"/>
  <c r="C11"/>
  <c r="L11" s="1"/>
  <c r="F10"/>
  <c r="C10"/>
  <c r="L10" s="1"/>
  <c r="F9"/>
  <c r="O9" s="1"/>
  <c r="C9"/>
  <c r="F8"/>
  <c r="O8" s="1"/>
  <c r="C8"/>
  <c r="L8" s="1"/>
  <c r="F7"/>
  <c r="O7" s="1"/>
  <c r="C7"/>
  <c r="F6"/>
  <c r="C6"/>
  <c r="B6" s="1"/>
  <c r="C14" i="169"/>
  <c r="K14" s="1"/>
  <c r="C13"/>
  <c r="K13" s="1"/>
  <c r="C12"/>
  <c r="K12" s="1"/>
  <c r="C11"/>
  <c r="K11" s="1"/>
  <c r="C10"/>
  <c r="K10" s="1"/>
  <c r="C9"/>
  <c r="K9" s="1"/>
  <c r="E8"/>
  <c r="M8" s="1"/>
  <c r="E7"/>
  <c r="C7" s="1"/>
  <c r="E6"/>
  <c r="C6" s="1"/>
  <c r="B6" s="1"/>
  <c r="B17" i="172"/>
  <c r="B8" i="170"/>
  <c r="K8" s="1"/>
  <c r="C7" i="42"/>
  <c r="G6"/>
  <c r="G11" s="1"/>
  <c r="H5" i="41"/>
  <c r="H12" s="1"/>
  <c r="K5"/>
  <c r="K12" s="1"/>
  <c r="P5"/>
  <c r="P12" s="1"/>
  <c r="O10"/>
  <c r="O9"/>
  <c r="O7"/>
  <c r="O5" s="1"/>
  <c r="O12" s="1"/>
  <c r="O8" i="42"/>
  <c r="L8"/>
  <c r="O7"/>
  <c r="L7"/>
  <c r="Q6"/>
  <c r="Q11" s="1"/>
  <c r="P6"/>
  <c r="P11" s="1"/>
  <c r="M6"/>
  <c r="M11" s="1"/>
  <c r="E6"/>
  <c r="E11" s="1"/>
  <c r="O5"/>
  <c r="L5"/>
  <c r="C5"/>
  <c r="L9" i="41"/>
  <c r="O8"/>
  <c r="L7"/>
  <c r="L6"/>
  <c r="J5"/>
  <c r="J12" s="1"/>
  <c r="E5"/>
  <c r="E12" s="1"/>
  <c r="N5" i="179" l="1"/>
  <c r="L5"/>
  <c r="K5"/>
  <c r="M5"/>
  <c r="B17" i="237"/>
  <c r="B5" i="238"/>
  <c r="B21"/>
  <c r="K8" i="176"/>
  <c r="C5" i="187"/>
  <c r="B5" s="1"/>
  <c r="C5" i="188"/>
  <c r="H11" i="178"/>
  <c r="B11" i="238"/>
  <c r="B19"/>
  <c r="G6" i="178"/>
  <c r="C15"/>
  <c r="M6"/>
  <c r="D11" i="42"/>
  <c r="C6"/>
  <c r="B7" i="173"/>
  <c r="B5" i="42"/>
  <c r="C7" i="178"/>
  <c r="E6"/>
  <c r="K6"/>
  <c r="I12"/>
  <c r="H12" s="1"/>
  <c r="B12" s="1"/>
  <c r="L6" i="42"/>
  <c r="L11" s="1"/>
  <c r="B7"/>
  <c r="B9"/>
  <c r="B9" i="41"/>
  <c r="B7"/>
  <c r="B9" i="40"/>
  <c r="O5"/>
  <c r="O12" s="1"/>
  <c r="B7" i="237"/>
  <c r="B12"/>
  <c r="G9" i="172"/>
  <c r="B11" i="170"/>
  <c r="K11" s="1"/>
  <c r="D16" i="237"/>
  <c r="B18"/>
  <c r="B6" i="238"/>
  <c r="B10"/>
  <c r="B18"/>
  <c r="B17" i="187"/>
  <c r="C12" i="178"/>
  <c r="G13" i="176"/>
  <c r="C7" i="179"/>
  <c r="B7" s="1"/>
  <c r="L5" i="41"/>
  <c r="L12" s="1"/>
  <c r="B8"/>
  <c r="H13" i="173"/>
  <c r="V13" s="1"/>
  <c r="H8" i="174"/>
  <c r="V8" s="1"/>
  <c r="H11" i="173"/>
  <c r="H7" i="174"/>
  <c r="B7" s="1"/>
  <c r="H14"/>
  <c r="B7" i="175"/>
  <c r="C5" i="179"/>
  <c r="B5" s="1"/>
  <c r="H5" s="1"/>
  <c r="L16" i="238"/>
  <c r="B17"/>
  <c r="H8" i="176"/>
  <c r="G8" s="1"/>
  <c r="L7" i="178"/>
  <c r="C16" i="184"/>
  <c r="C12"/>
  <c r="B6"/>
  <c r="B15" i="185"/>
  <c r="B10"/>
  <c r="K12" i="176"/>
  <c r="G12" s="1"/>
  <c r="K15"/>
  <c r="G15" s="1"/>
  <c r="H13" i="174"/>
  <c r="V13" s="1"/>
  <c r="H15" i="173"/>
  <c r="B5" i="182"/>
  <c r="G10" i="172"/>
  <c r="T10" s="1"/>
  <c r="B6" i="237"/>
  <c r="B10"/>
  <c r="L16"/>
  <c r="B8" i="238"/>
  <c r="H9" i="178"/>
  <c r="L5" i="40"/>
  <c r="L12" s="1"/>
  <c r="B8"/>
  <c r="C5"/>
  <c r="C12" s="1"/>
  <c r="B17" i="185"/>
  <c r="F5"/>
  <c r="B14"/>
  <c r="F5" i="188"/>
  <c r="B5" s="1"/>
  <c r="I5" s="1"/>
  <c r="G5" i="184"/>
  <c r="O5" s="1"/>
  <c r="F10"/>
  <c r="F12"/>
  <c r="B14" i="187"/>
  <c r="B13"/>
  <c r="B11"/>
  <c r="B7"/>
  <c r="B8"/>
  <c r="E5" i="184"/>
  <c r="M5" s="1"/>
  <c r="C17"/>
  <c r="C15"/>
  <c r="C5" i="186"/>
  <c r="B5" s="1"/>
  <c r="B8" i="185"/>
  <c r="F8" i="184"/>
  <c r="F14"/>
  <c r="F16"/>
  <c r="B16" s="1"/>
  <c r="C5" i="185"/>
  <c r="C8" i="184"/>
  <c r="B8" s="1"/>
  <c r="C14"/>
  <c r="B14" s="1"/>
  <c r="C10"/>
  <c r="C7"/>
  <c r="F7"/>
  <c r="C13"/>
  <c r="C11"/>
  <c r="C6" i="179"/>
  <c r="H14" i="178"/>
  <c r="B14" s="1"/>
  <c r="H13"/>
  <c r="B13" s="1"/>
  <c r="O6"/>
  <c r="L15"/>
  <c r="H15" s="1"/>
  <c r="I8"/>
  <c r="H8" s="1"/>
  <c r="B8" s="1"/>
  <c r="C8" i="176"/>
  <c r="C7"/>
  <c r="B7" s="1"/>
  <c r="B13"/>
  <c r="G16"/>
  <c r="B16" s="1"/>
  <c r="G10"/>
  <c r="B10" s="1"/>
  <c r="C9"/>
  <c r="K9"/>
  <c r="G9" s="1"/>
  <c r="B9" s="1"/>
  <c r="E6"/>
  <c r="C15"/>
  <c r="B15" s="1"/>
  <c r="C18"/>
  <c r="K18"/>
  <c r="G18" s="1"/>
  <c r="G14"/>
  <c r="G17"/>
  <c r="B17" s="1"/>
  <c r="G20"/>
  <c r="B20" s="1"/>
  <c r="B7" i="172"/>
  <c r="B7" i="169"/>
  <c r="J7" s="1"/>
  <c r="R7" s="1"/>
  <c r="K7"/>
  <c r="B9" i="172"/>
  <c r="O9" s="1"/>
  <c r="T9"/>
  <c r="H10" i="174"/>
  <c r="W10"/>
  <c r="B13"/>
  <c r="P13" s="1"/>
  <c r="Q13"/>
  <c r="B14"/>
  <c r="P14" s="1"/>
  <c r="V14"/>
  <c r="H15"/>
  <c r="W15"/>
  <c r="G11" i="172"/>
  <c r="U11"/>
  <c r="H16" i="173"/>
  <c r="V16" s="1"/>
  <c r="W16"/>
  <c r="H16" i="174"/>
  <c r="V16" s="1"/>
  <c r="W16"/>
  <c r="D5" i="184"/>
  <c r="L5" s="1"/>
  <c r="C18" i="169"/>
  <c r="K15"/>
  <c r="C6" i="172"/>
  <c r="P6" s="1"/>
  <c r="P12"/>
  <c r="L6" i="174"/>
  <c r="Z6" s="1"/>
  <c r="Z11"/>
  <c r="B5" i="185"/>
  <c r="G15" i="172"/>
  <c r="T15" s="1"/>
  <c r="U15"/>
  <c r="G13"/>
  <c r="X13"/>
  <c r="H10" i="173"/>
  <c r="V10" s="1"/>
  <c r="W10"/>
  <c r="L6"/>
  <c r="Z6" s="1"/>
  <c r="Z14"/>
  <c r="B6" i="41"/>
  <c r="F14" i="175"/>
  <c r="B13" i="170"/>
  <c r="K13" s="1"/>
  <c r="H12" i="174"/>
  <c r="I6" i="173"/>
  <c r="W6" s="1"/>
  <c r="B9" i="169"/>
  <c r="J9" s="1"/>
  <c r="R9" s="1"/>
  <c r="B11"/>
  <c r="J11" s="1"/>
  <c r="R11" s="1"/>
  <c r="B13"/>
  <c r="J13" s="1"/>
  <c r="R13" s="1"/>
  <c r="B12" i="170"/>
  <c r="K12" s="1"/>
  <c r="L12"/>
  <c r="B14"/>
  <c r="K14" s="1"/>
  <c r="G8" i="172"/>
  <c r="T8" s="1"/>
  <c r="U8"/>
  <c r="K6"/>
  <c r="X6" s="1"/>
  <c r="X9"/>
  <c r="H12" i="173"/>
  <c r="V12" s="1"/>
  <c r="B15"/>
  <c r="P15" s="1"/>
  <c r="V15"/>
  <c r="B8" i="174"/>
  <c r="P8" s="1"/>
  <c r="Q8"/>
  <c r="I6"/>
  <c r="W6" s="1"/>
  <c r="W9"/>
  <c r="H7" i="178"/>
  <c r="B14" i="237"/>
  <c r="P16"/>
  <c r="B9" i="238"/>
  <c r="B14"/>
  <c r="B15"/>
  <c r="P16"/>
  <c r="B16" s="1"/>
  <c r="B20"/>
  <c r="F16" i="175"/>
  <c r="V16"/>
  <c r="B19" i="176"/>
  <c r="H6"/>
  <c r="B13" i="185"/>
  <c r="B15" i="187"/>
  <c r="B10"/>
  <c r="B6"/>
  <c r="B14" i="173"/>
  <c r="P14" s="1"/>
  <c r="V14"/>
  <c r="E5" i="169"/>
  <c r="M7"/>
  <c r="B10" i="172"/>
  <c r="O10" s="1"/>
  <c r="P10"/>
  <c r="B14"/>
  <c r="O14" s="1"/>
  <c r="T14"/>
  <c r="B15" i="237"/>
  <c r="G16" i="172"/>
  <c r="X16"/>
  <c r="O6" i="173"/>
  <c r="AC6" s="1"/>
  <c r="AC16"/>
  <c r="B10" i="41"/>
  <c r="B10" i="40"/>
  <c r="B6"/>
  <c r="C6" i="174"/>
  <c r="Q6" s="1"/>
  <c r="B10" i="170"/>
  <c r="K10" s="1"/>
  <c r="O10"/>
  <c r="O6" i="42"/>
  <c r="O11" s="1"/>
  <c r="F9" i="175"/>
  <c r="H8" i="173"/>
  <c r="V8" s="1"/>
  <c r="F15" i="175"/>
  <c r="R15" s="1"/>
  <c r="F10"/>
  <c r="R10" s="1"/>
  <c r="C6"/>
  <c r="O6" s="1"/>
  <c r="C8" i="169"/>
  <c r="B10"/>
  <c r="J10" s="1"/>
  <c r="R10" s="1"/>
  <c r="B12"/>
  <c r="J12" s="1"/>
  <c r="R12" s="1"/>
  <c r="B14"/>
  <c r="J14" s="1"/>
  <c r="R14" s="1"/>
  <c r="B7" i="170"/>
  <c r="L7"/>
  <c r="B9"/>
  <c r="K9" s="1"/>
  <c r="L9"/>
  <c r="B15" i="172"/>
  <c r="O15" s="1"/>
  <c r="P15"/>
  <c r="C6" i="173"/>
  <c r="Q6" s="1"/>
  <c r="Q8"/>
  <c r="H9"/>
  <c r="W9"/>
  <c r="F8" i="175"/>
  <c r="R8" s="1"/>
  <c r="V8"/>
  <c r="O10"/>
  <c r="F11"/>
  <c r="G6"/>
  <c r="S6" s="1"/>
  <c r="S12"/>
  <c r="F13"/>
  <c r="V13"/>
  <c r="O15"/>
  <c r="B4" i="180"/>
  <c r="C5" i="181"/>
  <c r="C5" i="182"/>
  <c r="B5" i="183"/>
  <c r="E5" s="1"/>
  <c r="F9" i="184"/>
  <c r="F11"/>
  <c r="F13"/>
  <c r="F15"/>
  <c r="F17"/>
  <c r="B17" s="1"/>
  <c r="G12" i="172"/>
  <c r="T12" s="1"/>
  <c r="U12"/>
  <c r="G11" i="176"/>
  <c r="B11" s="1"/>
  <c r="B7" i="178"/>
  <c r="B11"/>
  <c r="B5" i="237"/>
  <c r="B8"/>
  <c r="B9"/>
  <c r="B11"/>
  <c r="B13"/>
  <c r="E16"/>
  <c r="B19"/>
  <c r="B20"/>
  <c r="B21"/>
  <c r="B7" i="238"/>
  <c r="B13"/>
  <c r="H16" i="178"/>
  <c r="B16" s="1"/>
  <c r="H17"/>
  <c r="B17" s="1"/>
  <c r="N6"/>
  <c r="L6" s="1"/>
  <c r="C9" i="184"/>
  <c r="B11" i="185"/>
  <c r="B12" i="187"/>
  <c r="B7" i="40"/>
  <c r="B15" i="169"/>
  <c r="F5" i="170"/>
  <c r="O5" s="1"/>
  <c r="P5"/>
  <c r="B9" i="173"/>
  <c r="P9" s="1"/>
  <c r="B10"/>
  <c r="P10" s="1"/>
  <c r="B14" i="176"/>
  <c r="B16" i="237"/>
  <c r="C5" i="170"/>
  <c r="B16" i="173"/>
  <c r="P16" s="1"/>
  <c r="B16" i="174"/>
  <c r="P16" s="1"/>
  <c r="E16" i="238"/>
  <c r="F12" i="175"/>
  <c r="H9" i="174"/>
  <c r="V9" s="1"/>
  <c r="B5" i="181"/>
  <c r="H5" i="184"/>
  <c r="P5" s="1"/>
  <c r="H6" i="172"/>
  <c r="U6" s="1"/>
  <c r="C15" i="170"/>
  <c r="F6" i="176"/>
  <c r="C6" s="1"/>
  <c r="L6"/>
  <c r="K6" s="1"/>
  <c r="D6" i="178"/>
  <c r="C6" s="1"/>
  <c r="J6"/>
  <c r="I6" s="1"/>
  <c r="H6" s="1"/>
  <c r="H11" i="174"/>
  <c r="B8" i="173"/>
  <c r="J6" i="175"/>
  <c r="V6" s="1"/>
  <c r="C9" i="178"/>
  <c r="C12" i="176"/>
  <c r="D16" i="238"/>
  <c r="B6" i="179" l="1"/>
  <c r="I5" s="1"/>
  <c r="J5"/>
  <c r="B12" i="184"/>
  <c r="F5"/>
  <c r="N5" s="1"/>
  <c r="B11"/>
  <c r="B12" i="176"/>
  <c r="B12" i="173"/>
  <c r="P12" s="1"/>
  <c r="C11" i="42"/>
  <c r="B6"/>
  <c r="B11" s="1"/>
  <c r="B23" i="238"/>
  <c r="I5" i="187"/>
  <c r="B8" i="172"/>
  <c r="O8" s="1"/>
  <c r="B23" i="237"/>
  <c r="B15" i="178"/>
  <c r="B9"/>
  <c r="B8" i="175"/>
  <c r="B15"/>
  <c r="N15" s="1"/>
  <c r="B15" i="184"/>
  <c r="V11" i="173"/>
  <c r="B11"/>
  <c r="P11" s="1"/>
  <c r="B12" i="172"/>
  <c r="O12" s="1"/>
  <c r="G6"/>
  <c r="T6" s="1"/>
  <c r="B10" i="175"/>
  <c r="N10" s="1"/>
  <c r="B18" i="176"/>
  <c r="B13" i="173"/>
  <c r="P13" s="1"/>
  <c r="B5" i="41"/>
  <c r="B12" s="1"/>
  <c r="B5" i="40"/>
  <c r="B12" s="1"/>
  <c r="B7" i="184"/>
  <c r="B10"/>
  <c r="C5"/>
  <c r="K5" s="1"/>
  <c r="B13"/>
  <c r="B6" i="178"/>
  <c r="P6" s="1"/>
  <c r="AD6" s="1"/>
  <c r="G6" i="176"/>
  <c r="I5" i="185" s="1"/>
  <c r="B8" i="176"/>
  <c r="B6" i="173"/>
  <c r="P6" s="1"/>
  <c r="P8"/>
  <c r="B18" i="169"/>
  <c r="J15"/>
  <c r="R15" s="1"/>
  <c r="R9" i="175"/>
  <c r="B9"/>
  <c r="N9" s="1"/>
  <c r="C5" i="169"/>
  <c r="M5"/>
  <c r="B16" i="175"/>
  <c r="N16" s="1"/>
  <c r="R16"/>
  <c r="B14"/>
  <c r="N14" s="1"/>
  <c r="R14"/>
  <c r="B11" i="172"/>
  <c r="T11"/>
  <c r="B10" i="174"/>
  <c r="P10" s="1"/>
  <c r="V10"/>
  <c r="B11"/>
  <c r="P11" s="1"/>
  <c r="V11"/>
  <c r="N8" i="175"/>
  <c r="B11"/>
  <c r="N11" s="1"/>
  <c r="R11"/>
  <c r="B12"/>
  <c r="N12" s="1"/>
  <c r="R12"/>
  <c r="F6"/>
  <c r="R6" s="1"/>
  <c r="B9" i="184"/>
  <c r="B13" i="175"/>
  <c r="N13" s="1"/>
  <c r="R13"/>
  <c r="V12" i="174"/>
  <c r="B12"/>
  <c r="P12" s="1"/>
  <c r="B15"/>
  <c r="P15" s="1"/>
  <c r="V15"/>
  <c r="H6" i="173"/>
  <c r="V6" s="1"/>
  <c r="V9"/>
  <c r="J5" i="170"/>
  <c r="K7"/>
  <c r="B8" i="169"/>
  <c r="K8"/>
  <c r="B16" i="172"/>
  <c r="O16" s="1"/>
  <c r="T16"/>
  <c r="B13"/>
  <c r="O13" s="1"/>
  <c r="T13"/>
  <c r="B15" i="170"/>
  <c r="K15" s="1"/>
  <c r="L15"/>
  <c r="B5"/>
  <c r="K5" s="1"/>
  <c r="L5"/>
  <c r="B6" i="176"/>
  <c r="O6" s="1"/>
  <c r="F4" i="180"/>
  <c r="B19" i="173"/>
  <c r="H6" i="174"/>
  <c r="B9"/>
  <c r="P9" s="1"/>
  <c r="H5" i="182"/>
  <c r="B5" i="184" l="1"/>
  <c r="B19" i="175"/>
  <c r="I5" i="170"/>
  <c r="V6" i="174"/>
  <c r="B6" i="172"/>
  <c r="O6" s="1"/>
  <c r="J8" i="169"/>
  <c r="R8" s="1"/>
  <c r="I5"/>
  <c r="B6" i="175"/>
  <c r="N6" s="1"/>
  <c r="B5" i="169"/>
  <c r="K5"/>
  <c r="O11" i="172"/>
  <c r="B20"/>
  <c r="B6" i="174"/>
  <c r="P6" s="1"/>
  <c r="B20"/>
  <c r="I5" i="184" l="1"/>
  <c r="J5"/>
  <c r="J5" i="169"/>
  <c r="R5" s="1"/>
  <c r="H5"/>
  <c r="P5" s="1"/>
  <c r="Q5" l="1"/>
  <c r="H31" i="184"/>
  <c r="G31"/>
  <c r="H30"/>
  <c r="G30"/>
  <c r="H29"/>
  <c r="G29"/>
  <c r="H28"/>
  <c r="G28"/>
  <c r="H27"/>
  <c r="G27"/>
  <c r="H26"/>
  <c r="G26"/>
  <c r="H25"/>
  <c r="G25"/>
  <c r="H24"/>
  <c r="G24"/>
  <c r="H23"/>
  <c r="G23"/>
  <c r="H22"/>
  <c r="G22"/>
  <c r="H21"/>
  <c r="G21"/>
  <c r="H20"/>
  <c r="G20"/>
  <c r="E31"/>
  <c r="D31"/>
  <c r="E30"/>
  <c r="D30"/>
  <c r="E29"/>
  <c r="D29"/>
  <c r="E28"/>
  <c r="D28"/>
  <c r="E27"/>
  <c r="D27"/>
  <c r="E26"/>
  <c r="D26"/>
  <c r="E25"/>
  <c r="D25"/>
  <c r="E24"/>
  <c r="D24"/>
  <c r="E23"/>
  <c r="D23"/>
  <c r="E22"/>
  <c r="D22"/>
  <c r="E21"/>
  <c r="D21"/>
  <c r="E20"/>
  <c r="D20"/>
  <c r="G60" i="179" l="1"/>
  <c r="F60"/>
  <c r="E60"/>
  <c r="D60"/>
  <c r="G59"/>
  <c r="F59"/>
  <c r="E59"/>
  <c r="D59"/>
  <c r="F20" i="184" l="1"/>
  <c r="F21"/>
  <c r="C20"/>
  <c r="C21"/>
  <c r="B21" l="1"/>
  <c r="B20"/>
  <c r="C30"/>
  <c r="C28"/>
  <c r="C26"/>
  <c r="C24"/>
  <c r="C22"/>
  <c r="C31"/>
  <c r="C29"/>
  <c r="C25"/>
  <c r="C23"/>
  <c r="C27"/>
  <c r="B60" i="179" l="1"/>
  <c r="C60"/>
  <c r="B59"/>
  <c r="C59"/>
  <c r="D19" i="184" l="1"/>
  <c r="H19"/>
  <c r="G19"/>
  <c r="E19"/>
  <c r="B25" l="1"/>
  <c r="F25"/>
  <c r="B26"/>
  <c r="F26"/>
  <c r="B27"/>
  <c r="F27"/>
  <c r="B28"/>
  <c r="F28"/>
  <c r="B29"/>
  <c r="F29"/>
  <c r="B30"/>
  <c r="F30"/>
  <c r="B22"/>
  <c r="F22"/>
  <c r="B31"/>
  <c r="F31"/>
  <c r="B23"/>
  <c r="F23"/>
  <c r="B24"/>
  <c r="F24"/>
  <c r="C19"/>
  <c r="F19"/>
  <c r="B19" l="1"/>
</calcChain>
</file>

<file path=xl/comments1.xml><?xml version="1.0" encoding="utf-8"?>
<comments xmlns="http://schemas.openxmlformats.org/spreadsheetml/2006/main">
  <authors>
    <author>張孟婷</author>
  </authors>
  <commentList>
    <comment ref="Q5"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J11"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G15"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10.xml><?xml version="1.0" encoding="utf-8"?>
<comments xmlns="http://schemas.openxmlformats.org/spreadsheetml/2006/main">
  <authors>
    <author>張孟婷</author>
  </authors>
  <commentList>
    <comment ref="C5" author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以中心配置</t>
        </r>
        <r>
          <rPr>
            <sz val="12"/>
            <color indexed="81"/>
            <rFont val="Tahoma"/>
            <family val="2"/>
          </rPr>
          <t>%*</t>
        </r>
        <r>
          <rPr>
            <sz val="12"/>
            <color indexed="81"/>
            <rFont val="細明體"/>
            <family val="3"/>
            <charset val="136"/>
          </rPr>
          <t>正負</t>
        </r>
        <r>
          <rPr>
            <sz val="12"/>
            <color indexed="81"/>
            <rFont val="Tahoma"/>
            <family val="2"/>
          </rPr>
          <t>20%</t>
        </r>
        <r>
          <rPr>
            <sz val="12"/>
            <color indexed="81"/>
            <rFont val="細明體"/>
            <family val="3"/>
            <charset val="136"/>
          </rPr>
          <t>得出</t>
        </r>
      </text>
    </comment>
  </commentList>
</comments>
</file>

<file path=xl/comments11.xml><?xml version="1.0" encoding="utf-8"?>
<comments xmlns="http://schemas.openxmlformats.org/spreadsheetml/2006/main">
  <authors>
    <author>mable</author>
    <author>ASUS</author>
  </authors>
  <commentList>
    <comment ref="L4" authorId="0">
      <text>
        <r>
          <rPr>
            <b/>
            <sz val="9"/>
            <color indexed="81"/>
            <rFont val="新細明體"/>
            <family val="1"/>
            <charset val="136"/>
          </rPr>
          <t>mable:</t>
        </r>
        <r>
          <rPr>
            <sz val="9"/>
            <color indexed="81"/>
            <rFont val="新細明體"/>
            <family val="1"/>
            <charset val="136"/>
          </rPr>
          <t xml:space="preserve">
長期性投資及應收款</t>
        </r>
      </text>
    </comment>
    <comment ref="C21" authorId="1">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List>
</comments>
</file>

<file path=xl/comments12.xml><?xml version="1.0" encoding="utf-8"?>
<comments xmlns="http://schemas.openxmlformats.org/spreadsheetml/2006/main">
  <authors>
    <author>ASUS</author>
  </authors>
  <commentList>
    <comment ref="B20" author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List>
</comments>
</file>

<file path=xl/comments13.xml><?xml version="1.0" encoding="utf-8"?>
<comments xmlns="http://schemas.openxmlformats.org/spreadsheetml/2006/main">
  <authors>
    <author>mable</author>
  </authors>
  <commentList>
    <comment ref="F5" authorId="0">
      <text>
        <r>
          <rPr>
            <b/>
            <sz val="9"/>
            <color indexed="81"/>
            <rFont val="新細明體"/>
            <family val="1"/>
            <charset val="136"/>
          </rPr>
          <t>mable:</t>
        </r>
        <r>
          <rPr>
            <sz val="9"/>
            <color indexed="81"/>
            <rFont val="新細明體"/>
            <family val="1"/>
            <charset val="136"/>
          </rPr>
          <t xml:space="preserve">
自95年起以淨額表達</t>
        </r>
      </text>
    </comment>
    <comment ref="I5" authorId="0">
      <text>
        <r>
          <rPr>
            <b/>
            <sz val="9"/>
            <color indexed="81"/>
            <rFont val="新細明體"/>
            <family val="1"/>
            <charset val="136"/>
          </rPr>
          <t>mable:</t>
        </r>
        <r>
          <rPr>
            <sz val="9"/>
            <color indexed="81"/>
            <rFont val="新細明體"/>
            <family val="1"/>
            <charset val="136"/>
          </rPr>
          <t xml:space="preserve">
自95年起以淨額表達</t>
        </r>
      </text>
    </comment>
    <comment ref="F11" authorId="0">
      <text>
        <r>
          <rPr>
            <b/>
            <sz val="9"/>
            <color indexed="81"/>
            <rFont val="新細明體"/>
            <family val="1"/>
            <charset val="136"/>
          </rPr>
          <t>mable:</t>
        </r>
        <r>
          <rPr>
            <sz val="9"/>
            <color indexed="81"/>
            <rFont val="新細明體"/>
            <family val="1"/>
            <charset val="136"/>
          </rPr>
          <t xml:space="preserve">
決算書-收支餘絀表(淨額表達)</t>
        </r>
      </text>
    </comment>
    <comment ref="I11" authorId="0">
      <text>
        <r>
          <rPr>
            <b/>
            <sz val="9"/>
            <color indexed="81"/>
            <rFont val="新細明體"/>
            <family val="1"/>
            <charset val="136"/>
          </rPr>
          <t>mable:</t>
        </r>
        <r>
          <rPr>
            <sz val="9"/>
            <color indexed="81"/>
            <rFont val="新細明體"/>
            <family val="1"/>
            <charset val="136"/>
          </rPr>
          <t xml:space="preserve">
決算書-收支餘絀表(淨額表達)</t>
        </r>
      </text>
    </comment>
    <comment ref="F12" authorId="0">
      <text>
        <r>
          <rPr>
            <b/>
            <sz val="9"/>
            <color indexed="81"/>
            <rFont val="新細明體"/>
            <family val="1"/>
            <charset val="136"/>
          </rPr>
          <t>mable:</t>
        </r>
        <r>
          <rPr>
            <sz val="9"/>
            <color indexed="81"/>
            <rFont val="新細明體"/>
            <family val="1"/>
            <charset val="136"/>
          </rPr>
          <t xml:space="preserve">
決算書-收支餘絀表(淨額表達)</t>
        </r>
      </text>
    </comment>
    <comment ref="I12" authorId="0">
      <text>
        <r>
          <rPr>
            <b/>
            <sz val="9"/>
            <color indexed="81"/>
            <rFont val="新細明體"/>
            <family val="1"/>
            <charset val="136"/>
          </rPr>
          <t>mable:</t>
        </r>
        <r>
          <rPr>
            <sz val="9"/>
            <color indexed="81"/>
            <rFont val="新細明體"/>
            <family val="1"/>
            <charset val="136"/>
          </rPr>
          <t xml:space="preserve">
決算書-收支餘絀表(淨額表達)</t>
        </r>
      </text>
    </comment>
    <comment ref="F14" authorId="0">
      <text>
        <r>
          <rPr>
            <b/>
            <sz val="9"/>
            <color indexed="81"/>
            <rFont val="新細明體"/>
            <family val="1"/>
            <charset val="136"/>
          </rPr>
          <t>mable:</t>
        </r>
        <r>
          <rPr>
            <sz val="9"/>
            <color indexed="81"/>
            <rFont val="新細明體"/>
            <family val="1"/>
            <charset val="136"/>
          </rPr>
          <t xml:space="preserve">
決算書-收支餘絀表(淨額表達)</t>
        </r>
      </text>
    </comment>
    <comment ref="I14" authorId="0">
      <text>
        <r>
          <rPr>
            <b/>
            <sz val="9"/>
            <color indexed="81"/>
            <rFont val="新細明體"/>
            <family val="1"/>
            <charset val="136"/>
          </rPr>
          <t>mable:</t>
        </r>
        <r>
          <rPr>
            <sz val="9"/>
            <color indexed="81"/>
            <rFont val="新細明體"/>
            <family val="1"/>
            <charset val="136"/>
          </rPr>
          <t xml:space="preserve">
決算書-收支餘絀表(淨額表達)</t>
        </r>
      </text>
    </comment>
    <comment ref="F15" authorId="0">
      <text>
        <r>
          <rPr>
            <b/>
            <sz val="9"/>
            <color indexed="81"/>
            <rFont val="新細明體"/>
            <family val="1"/>
            <charset val="136"/>
          </rPr>
          <t>mable:</t>
        </r>
        <r>
          <rPr>
            <sz val="9"/>
            <color indexed="81"/>
            <rFont val="新細明體"/>
            <family val="1"/>
            <charset val="136"/>
          </rPr>
          <t xml:space="preserve">
決算書-收支餘絀表(淨額表達)</t>
        </r>
      </text>
    </comment>
    <comment ref="I15" authorId="0">
      <text>
        <r>
          <rPr>
            <b/>
            <sz val="9"/>
            <color indexed="81"/>
            <rFont val="新細明體"/>
            <family val="1"/>
            <charset val="136"/>
          </rPr>
          <t>mable:</t>
        </r>
        <r>
          <rPr>
            <sz val="9"/>
            <color indexed="81"/>
            <rFont val="新細明體"/>
            <family val="1"/>
            <charset val="136"/>
          </rPr>
          <t xml:space="preserve">
決算書-收支餘絀表(淨額表達)</t>
        </r>
      </text>
    </comment>
  </commentList>
</comments>
</file>

<file path=xl/comments14.xml><?xml version="1.0" encoding="utf-8"?>
<comments xmlns="http://schemas.openxmlformats.org/spreadsheetml/2006/main">
  <authors>
    <author>張孟婷</author>
  </authors>
  <commentList>
    <comment ref="G20"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T20"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Z20"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T21"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Z21"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27"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首次採用</t>
        </r>
        <r>
          <rPr>
            <sz val="9"/>
            <color indexed="81"/>
            <rFont val="Tahoma"/>
            <family val="2"/>
          </rPr>
          <t>IFRS</t>
        </r>
        <r>
          <rPr>
            <sz val="9"/>
            <color indexed="81"/>
            <rFont val="細明體"/>
            <family val="3"/>
            <charset val="136"/>
          </rPr>
          <t>調整數</t>
        </r>
        <r>
          <rPr>
            <sz val="9"/>
            <color indexed="81"/>
            <rFont val="Tahoma"/>
            <family val="2"/>
          </rPr>
          <t>192,508</t>
        </r>
        <r>
          <rPr>
            <sz val="9"/>
            <color indexed="81"/>
            <rFont val="細明體"/>
            <family val="3"/>
            <charset val="136"/>
          </rPr>
          <t>千元，</t>
        </r>
        <r>
          <rPr>
            <sz val="9"/>
            <color indexed="81"/>
            <rFont val="Tahoma"/>
            <family val="2"/>
          </rPr>
          <t>2</t>
        </r>
        <r>
          <rPr>
            <sz val="9"/>
            <color indexed="81"/>
            <rFont val="細明體"/>
            <family val="3"/>
            <charset val="136"/>
          </rPr>
          <t>為尾差</t>
        </r>
      </text>
    </comment>
    <comment ref="C28"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首次採用</t>
        </r>
        <r>
          <rPr>
            <sz val="9"/>
            <color indexed="81"/>
            <rFont val="Tahoma"/>
            <family val="2"/>
          </rPr>
          <t>IFRS</t>
        </r>
        <r>
          <rPr>
            <sz val="9"/>
            <color indexed="81"/>
            <rFont val="細明體"/>
            <family val="3"/>
            <charset val="136"/>
          </rPr>
          <t>調整數</t>
        </r>
        <r>
          <rPr>
            <sz val="9"/>
            <color indexed="81"/>
            <rFont val="Tahoma"/>
            <family val="2"/>
          </rPr>
          <t>192,508</t>
        </r>
        <r>
          <rPr>
            <sz val="9"/>
            <color indexed="81"/>
            <rFont val="細明體"/>
            <family val="3"/>
            <charset val="136"/>
          </rPr>
          <t>千元，</t>
        </r>
        <r>
          <rPr>
            <sz val="9"/>
            <color indexed="81"/>
            <rFont val="Tahoma"/>
            <family val="2"/>
          </rPr>
          <t>2</t>
        </r>
        <r>
          <rPr>
            <sz val="9"/>
            <color indexed="81"/>
            <rFont val="細明體"/>
            <family val="3"/>
            <charset val="136"/>
          </rPr>
          <t>為尾差</t>
        </r>
      </text>
    </comment>
  </commentList>
</comments>
</file>

<file path=xl/comments15.xml><?xml version="1.0" encoding="utf-8"?>
<comments xmlns="http://schemas.openxmlformats.org/spreadsheetml/2006/main">
  <authors>
    <author>張孟婷</author>
  </authors>
  <commentList>
    <comment ref="G3" author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係用加權平均計算</t>
        </r>
      </text>
    </comment>
    <comment ref="H3" author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年度中若有撥款，係以各期間報酬率加權平均計算</t>
        </r>
      </text>
    </comment>
  </commentList>
</comments>
</file>

<file path=xl/comments16.xml><?xml version="1.0" encoding="utf-8"?>
<comments xmlns="http://schemas.openxmlformats.org/spreadsheetml/2006/main">
  <authors>
    <author>張孟婷</author>
  </authors>
  <commentList>
    <comment ref="J3" author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年度中若有撥款，係以加權平均計閱算</t>
        </r>
      </text>
    </comment>
    <comment ref="G4" author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年度中若有撥款，係以加權平均計閱算</t>
        </r>
      </text>
    </comment>
    <comment ref="I4" author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年度中若有撥款，係以加權平均計閱算</t>
        </r>
      </text>
    </comment>
  </commentList>
</comments>
</file>

<file path=xl/comments17.xml><?xml version="1.0" encoding="utf-8"?>
<comments xmlns="http://schemas.openxmlformats.org/spreadsheetml/2006/main">
  <authors>
    <author>mable</author>
  </authors>
  <commentList>
    <comment ref="B4" authorId="0">
      <text>
        <r>
          <rPr>
            <b/>
            <sz val="9"/>
            <color indexed="81"/>
            <rFont val="新細明體"/>
            <family val="1"/>
            <charset val="136"/>
          </rPr>
          <t>mable:</t>
        </r>
        <r>
          <rPr>
            <sz val="9"/>
            <color indexed="81"/>
            <rFont val="新細明體"/>
            <family val="1"/>
            <charset val="136"/>
          </rPr>
          <t xml:space="preserve">
含育嬰留停3人</t>
        </r>
      </text>
    </comment>
  </commentList>
</comments>
</file>

<file path=xl/comments2.xml><?xml version="1.0" encoding="utf-8"?>
<comments xmlns="http://schemas.openxmlformats.org/spreadsheetml/2006/main">
  <authors>
    <author>張孟婷</author>
    <author>ASUS</author>
  </authors>
  <commentList>
    <comment ref="C5"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6" authorId="1">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List>
</comments>
</file>

<file path=xl/comments3.xml><?xml version="1.0" encoding="utf-8"?>
<comments xmlns="http://schemas.openxmlformats.org/spreadsheetml/2006/main">
  <authors>
    <author>mable</author>
    <author>張孟婷</author>
  </authors>
  <commentList>
    <comment ref="P4" authorId="0">
      <text>
        <r>
          <rPr>
            <b/>
            <sz val="9"/>
            <color indexed="81"/>
            <rFont val="新細明體"/>
            <family val="1"/>
            <charset val="136"/>
          </rPr>
          <t>mable:</t>
        </r>
        <r>
          <rPr>
            <sz val="9"/>
            <color indexed="81"/>
            <rFont val="新細明體"/>
            <family val="1"/>
            <charset val="136"/>
          </rPr>
          <t xml:space="preserve">
=離職退費+利息</t>
        </r>
      </text>
    </comment>
    <comment ref="Q4" authorId="0">
      <text>
        <r>
          <rPr>
            <b/>
            <sz val="9"/>
            <color indexed="81"/>
            <rFont val="新細明體"/>
            <family val="1"/>
            <charset val="136"/>
          </rPr>
          <t>mable:</t>
        </r>
        <r>
          <rPr>
            <sz val="9"/>
            <color indexed="81"/>
            <rFont val="新細明體"/>
            <family val="1"/>
            <charset val="136"/>
          </rPr>
          <t xml:space="preserve">
未併計年資(本金)+未併計年資(利息)</t>
        </r>
      </text>
    </comment>
    <comment ref="B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D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F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I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M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N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O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Q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6"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O6"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7"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8"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L8"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9"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L10"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4.xml><?xml version="1.0" encoding="utf-8"?>
<comments xmlns="http://schemas.openxmlformats.org/spreadsheetml/2006/main">
  <authors>
    <author>張孟婷</author>
  </authors>
  <commentList>
    <comment ref="B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F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H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J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K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N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B8"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8"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L9"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5.xml><?xml version="1.0" encoding="utf-8"?>
<comments xmlns="http://schemas.openxmlformats.org/spreadsheetml/2006/main">
  <authors>
    <author>mable</author>
    <author>張孟婷</author>
    <author>ASUS</author>
  </authors>
  <commentList>
    <comment ref="G9" authorId="0">
      <text>
        <r>
          <rPr>
            <b/>
            <sz val="9"/>
            <color indexed="81"/>
            <rFont val="新細明體"/>
            <family val="1"/>
            <charset val="136"/>
          </rPr>
          <t>mable:</t>
        </r>
        <r>
          <rPr>
            <sz val="9"/>
            <color indexed="81"/>
            <rFont val="新細明體"/>
            <family val="1"/>
            <charset val="136"/>
          </rPr>
          <t xml:space="preserve">
含軍之贍養金</t>
        </r>
      </text>
    </comment>
    <comment ref="G10" authorId="0">
      <text>
        <r>
          <rPr>
            <b/>
            <sz val="9"/>
            <color indexed="81"/>
            <rFont val="新細明體"/>
            <family val="1"/>
            <charset val="136"/>
          </rPr>
          <t>mable:</t>
        </r>
        <r>
          <rPr>
            <sz val="9"/>
            <color indexed="81"/>
            <rFont val="新細明體"/>
            <family val="1"/>
            <charset val="136"/>
          </rPr>
          <t xml:space="preserve">
含軍之贍養金</t>
        </r>
      </text>
    </comment>
    <comment ref="G11" authorId="0">
      <text>
        <r>
          <rPr>
            <b/>
            <sz val="9"/>
            <color indexed="81"/>
            <rFont val="新細明體"/>
            <family val="1"/>
            <charset val="136"/>
          </rPr>
          <t>mable:</t>
        </r>
        <r>
          <rPr>
            <sz val="9"/>
            <color indexed="81"/>
            <rFont val="新細明體"/>
            <family val="1"/>
            <charset val="136"/>
          </rPr>
          <t xml:space="preserve">
含軍之贍養金</t>
        </r>
      </text>
    </comment>
    <comment ref="G13" authorId="0">
      <text>
        <r>
          <rPr>
            <b/>
            <sz val="9"/>
            <color indexed="81"/>
            <rFont val="新細明體"/>
            <family val="1"/>
            <charset val="136"/>
          </rPr>
          <t>mable:</t>
        </r>
        <r>
          <rPr>
            <sz val="9"/>
            <color indexed="81"/>
            <rFont val="新細明體"/>
            <family val="1"/>
            <charset val="136"/>
          </rPr>
          <t xml:space="preserve">
含軍之贍養金</t>
        </r>
      </text>
    </comment>
    <comment ref="G14" authorId="0">
      <text>
        <r>
          <rPr>
            <b/>
            <sz val="9"/>
            <color indexed="81"/>
            <rFont val="新細明體"/>
            <family val="1"/>
            <charset val="136"/>
          </rPr>
          <t>mable:</t>
        </r>
        <r>
          <rPr>
            <sz val="9"/>
            <color indexed="81"/>
            <rFont val="新細明體"/>
            <family val="1"/>
            <charset val="136"/>
          </rPr>
          <t xml:space="preserve">
含軍之贍養金</t>
        </r>
      </text>
    </comment>
    <comment ref="Q14"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15" authorId="2">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List>
</comments>
</file>

<file path=xl/comments6.xml><?xml version="1.0" encoding="utf-8"?>
<comments xmlns="http://schemas.openxmlformats.org/spreadsheetml/2006/main">
  <authors>
    <author>ASUS</author>
  </authors>
  <commentList>
    <comment ref="C15" author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List>
</comments>
</file>

<file path=xl/comments7.xml><?xml version="1.0" encoding="utf-8"?>
<comments xmlns="http://schemas.openxmlformats.org/spreadsheetml/2006/main">
  <authors>
    <author>ASUS</author>
  </authors>
  <commentList>
    <comment ref="O15" author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List>
</comments>
</file>

<file path=xl/comments8.xml><?xml version="1.0" encoding="utf-8"?>
<comments xmlns="http://schemas.openxmlformats.org/spreadsheetml/2006/main">
  <authors>
    <author>ASUS</author>
  </authors>
  <commentList>
    <comment ref="B15" author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 ref="C15" author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-2</t>
        </r>
      </text>
    </comment>
  </commentList>
</comments>
</file>

<file path=xl/comments9.xml><?xml version="1.0" encoding="utf-8"?>
<comments xmlns="http://schemas.openxmlformats.org/spreadsheetml/2006/main">
  <authors>
    <author>ASUS</author>
  </authors>
  <commentList>
    <comment ref="J15" author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List>
</comments>
</file>

<file path=xl/sharedStrings.xml><?xml version="1.0" encoding="utf-8"?>
<sst xmlns="http://schemas.openxmlformats.org/spreadsheetml/2006/main" count="2863" uniqueCount="1050">
  <si>
    <t>96年</t>
  </si>
  <si>
    <t>97年</t>
  </si>
  <si>
    <t>98年</t>
  </si>
  <si>
    <t>99年</t>
  </si>
  <si>
    <t>100年</t>
  </si>
  <si>
    <t>101年</t>
  </si>
  <si>
    <t>102年</t>
  </si>
  <si>
    <t>103年</t>
  </si>
  <si>
    <t>95年</t>
  </si>
  <si>
    <t>單位：人</t>
  </si>
  <si>
    <t>一次撫卹金</t>
  </si>
  <si>
    <t>104年</t>
    <phoneticPr fontId="11" type="noConversion"/>
  </si>
  <si>
    <t xml:space="preserve">  23歲</t>
  </si>
  <si>
    <t xml:space="preserve">  24歲</t>
  </si>
  <si>
    <t xml:space="preserve">  25歲</t>
  </si>
  <si>
    <t xml:space="preserve">  32歲</t>
  </si>
  <si>
    <t xml:space="preserve">  33歲</t>
  </si>
  <si>
    <t xml:space="preserve">  34歲</t>
  </si>
  <si>
    <t xml:space="preserve">  35歲</t>
  </si>
  <si>
    <t xml:space="preserve">  36歲</t>
  </si>
  <si>
    <t xml:space="preserve">  37歲</t>
  </si>
  <si>
    <t xml:space="preserve">  38歲</t>
  </si>
  <si>
    <t xml:space="preserve">  39歲</t>
  </si>
  <si>
    <t xml:space="preserve">  40歲</t>
  </si>
  <si>
    <t xml:space="preserve">  41歲</t>
  </si>
  <si>
    <t xml:space="preserve">  42歲</t>
  </si>
  <si>
    <t xml:space="preserve">  43歲</t>
  </si>
  <si>
    <t xml:space="preserve">  44歲</t>
  </si>
  <si>
    <t>單位：人；歲</t>
  </si>
  <si>
    <t xml:space="preserve">  27歲</t>
  </si>
  <si>
    <t xml:space="preserve">  28歲</t>
  </si>
  <si>
    <t xml:space="preserve">  29歲</t>
  </si>
  <si>
    <t xml:space="preserve">  30歲</t>
  </si>
  <si>
    <t xml:space="preserve">  31歲</t>
  </si>
  <si>
    <t xml:space="preserve">  45歲</t>
  </si>
  <si>
    <r>
      <t xml:space="preserve">  43歲</t>
    </r>
    <r>
      <rPr>
        <b/>
        <sz val="12"/>
        <rFont val="Times New Roman"/>
        <family val="1"/>
      </rPr>
      <t/>
    </r>
  </si>
  <si>
    <r>
      <t xml:space="preserve">  44歲</t>
    </r>
    <r>
      <rPr>
        <b/>
        <sz val="12"/>
        <rFont val="Times New Roman"/>
        <family val="1"/>
      </rPr>
      <t/>
    </r>
  </si>
  <si>
    <t>公務人員</t>
  </si>
  <si>
    <t>教育人員</t>
  </si>
  <si>
    <r>
      <t xml:space="preserve">     </t>
    </r>
    <r>
      <rPr>
        <sz val="11"/>
        <rFont val="標楷體"/>
        <family val="4"/>
        <charset val="136"/>
      </rPr>
      <t>25歲</t>
    </r>
    <r>
      <rPr>
        <b/>
        <sz val="12"/>
        <rFont val="Times New Roman"/>
        <family val="1"/>
      </rPr>
      <t/>
    </r>
  </si>
  <si>
    <r>
      <t xml:space="preserve">     </t>
    </r>
    <r>
      <rPr>
        <sz val="11"/>
        <rFont val="標楷體"/>
        <family val="4"/>
        <charset val="136"/>
      </rPr>
      <t>46歲</t>
    </r>
    <r>
      <rPr>
        <b/>
        <sz val="12"/>
        <rFont val="Times New Roman"/>
        <family val="1"/>
      </rPr>
      <t/>
    </r>
  </si>
  <si>
    <r>
      <t xml:space="preserve">     </t>
    </r>
    <r>
      <rPr>
        <sz val="11"/>
        <rFont val="標楷體"/>
        <family val="4"/>
        <charset val="136"/>
      </rPr>
      <t>47歲</t>
    </r>
    <r>
      <rPr>
        <b/>
        <sz val="12"/>
        <rFont val="Times New Roman"/>
        <family val="1"/>
      </rPr>
      <t/>
    </r>
  </si>
  <si>
    <r>
      <t xml:space="preserve">     </t>
    </r>
    <r>
      <rPr>
        <sz val="11"/>
        <rFont val="標楷體"/>
        <family val="4"/>
        <charset val="136"/>
      </rPr>
      <t>48歲</t>
    </r>
    <r>
      <rPr>
        <b/>
        <sz val="12"/>
        <rFont val="Times New Roman"/>
        <family val="1"/>
      </rPr>
      <t/>
    </r>
  </si>
  <si>
    <t>政務人員</t>
    <phoneticPr fontId="11" type="noConversion"/>
  </si>
  <si>
    <t>公務人員</t>
    <phoneticPr fontId="11" type="noConversion"/>
  </si>
  <si>
    <t>教育人員</t>
    <phoneticPr fontId="11" type="noConversion"/>
  </si>
  <si>
    <t>軍職人員</t>
    <phoneticPr fontId="11" type="noConversion"/>
  </si>
  <si>
    <t>單位：歲</t>
  </si>
  <si>
    <t>項目別</t>
    <phoneticPr fontId="3" type="noConversion"/>
  </si>
  <si>
    <t>總計</t>
    <phoneticPr fontId="3" type="noConversion"/>
  </si>
  <si>
    <t>中央政府</t>
    <phoneticPr fontId="3" type="noConversion"/>
  </si>
  <si>
    <t>縣市政府</t>
    <phoneticPr fontId="3" type="noConversion"/>
  </si>
  <si>
    <t>鄉鎮市
公所</t>
    <phoneticPr fontId="3" type="noConversion"/>
  </si>
  <si>
    <t>92年</t>
    <phoneticPr fontId="3" type="noConversion"/>
  </si>
  <si>
    <t>94年</t>
  </si>
  <si>
    <t>104年</t>
    <phoneticPr fontId="3" type="noConversion"/>
  </si>
  <si>
    <t>單位：人</t>
    <phoneticPr fontId="3" type="noConversion"/>
  </si>
  <si>
    <t>公營事業機構</t>
    <phoneticPr fontId="3" type="noConversion"/>
  </si>
  <si>
    <t>小計</t>
    <phoneticPr fontId="3" type="noConversion"/>
  </si>
  <si>
    <t>軍職
人員</t>
    <phoneticPr fontId="3" type="noConversion"/>
  </si>
  <si>
    <t>93年</t>
  </si>
  <si>
    <t>合計</t>
    <phoneticPr fontId="3" type="noConversion"/>
  </si>
  <si>
    <t>表40  政務人員退撫支出</t>
    <phoneticPr fontId="3" type="noConversion"/>
  </si>
  <si>
    <t>明細(按政府別分)</t>
    <phoneticPr fontId="3" type="noConversion"/>
  </si>
  <si>
    <t>中華民</t>
    <phoneticPr fontId="3" type="noConversion"/>
  </si>
  <si>
    <t>單位：新臺幣千元</t>
    <phoneticPr fontId="3" type="noConversion"/>
  </si>
  <si>
    <t>退休</t>
    <phoneticPr fontId="3" type="noConversion"/>
  </si>
  <si>
    <t>撫卹</t>
    <phoneticPr fontId="3" type="noConversion"/>
  </si>
  <si>
    <t>退出</t>
    <phoneticPr fontId="3" type="noConversion"/>
  </si>
  <si>
    <t>一次退職金</t>
    <phoneticPr fontId="3" type="noConversion"/>
  </si>
  <si>
    <t>月退職金</t>
    <phoneticPr fontId="3" type="noConversion"/>
  </si>
  <si>
    <t>資遣</t>
  </si>
  <si>
    <t>直轄市
政府</t>
    <phoneticPr fontId="3" type="noConversion"/>
  </si>
  <si>
    <r>
      <t>鄉鎮市</t>
    </r>
    <r>
      <rPr>
        <sz val="11"/>
        <rFont val="Times New Roman"/>
        <family val="1"/>
      </rPr>
      <t xml:space="preserve">      </t>
    </r>
    <r>
      <rPr>
        <sz val="11"/>
        <rFont val="標楷體"/>
        <family val="4"/>
        <charset val="136"/>
      </rPr>
      <t>公所</t>
    </r>
    <phoneticPr fontId="3" type="noConversion"/>
  </si>
  <si>
    <t>一次退休金</t>
    <phoneticPr fontId="3" type="noConversion"/>
  </si>
  <si>
    <t>月退休金</t>
    <phoneticPr fontId="3" type="noConversion"/>
  </si>
  <si>
    <t>兼領一次退休
金與月退休金</t>
    <phoneticPr fontId="3" type="noConversion"/>
  </si>
  <si>
    <t>發還原繳付
基金費用</t>
    <phoneticPr fontId="3" type="noConversion"/>
  </si>
  <si>
    <t>未併計
年資退費</t>
    <phoneticPr fontId="3" type="noConversion"/>
  </si>
  <si>
    <t>表42  教育人員退撫支出</t>
    <phoneticPr fontId="3" type="noConversion"/>
  </si>
  <si>
    <t>退休(職、伍)</t>
    <phoneticPr fontId="3" type="noConversion"/>
  </si>
  <si>
    <t>發還原繳付基金費用</t>
    <phoneticPr fontId="3" type="noConversion"/>
  </si>
  <si>
    <t>退職</t>
    <phoneticPr fontId="3" type="noConversion"/>
  </si>
  <si>
    <t>一次撫卹金</t>
    <phoneticPr fontId="3" type="noConversion"/>
  </si>
  <si>
    <t>退伍</t>
    <phoneticPr fontId="3" type="noConversion"/>
  </si>
  <si>
    <t>贍養金</t>
    <phoneticPr fontId="3" type="noConversion"/>
  </si>
  <si>
    <t>政務人員</t>
    <phoneticPr fontId="3" type="noConversion"/>
  </si>
  <si>
    <t>公務人員</t>
    <phoneticPr fontId="3" type="noConversion"/>
  </si>
  <si>
    <t>教育人員</t>
    <phoneticPr fontId="3" type="noConversion"/>
  </si>
  <si>
    <t>軍職人員</t>
    <phoneticPr fontId="3" type="noConversion"/>
  </si>
  <si>
    <t>人數</t>
    <phoneticPr fontId="3" type="noConversion"/>
  </si>
  <si>
    <t>金額</t>
    <phoneticPr fontId="3" type="noConversion"/>
  </si>
  <si>
    <t>24歲以下</t>
    <phoneticPr fontId="3" type="noConversion"/>
  </si>
  <si>
    <t>25–29歲</t>
    <phoneticPr fontId="3" type="noConversion"/>
  </si>
  <si>
    <t>平均年齡</t>
    <phoneticPr fontId="3" type="noConversion"/>
  </si>
  <si>
    <t>兼領一次退職
金與月退職金</t>
    <phoneticPr fontId="3" type="noConversion"/>
  </si>
  <si>
    <t>因公傷病
退休金</t>
    <phoneticPr fontId="3" type="noConversion"/>
  </si>
  <si>
    <t>再一次加
發補償金</t>
    <phoneticPr fontId="3" type="noConversion"/>
  </si>
  <si>
    <t>106年</t>
    <phoneticPr fontId="3" type="noConversion"/>
  </si>
  <si>
    <t>105年</t>
  </si>
  <si>
    <t>106年</t>
    <phoneticPr fontId="11" type="noConversion"/>
  </si>
  <si>
    <t>資遣</t>
    <phoneticPr fontId="3" type="noConversion"/>
  </si>
  <si>
    <t>一次退休(職)金(退伍金)</t>
    <phoneticPr fontId="3" type="noConversion"/>
  </si>
  <si>
    <t>月退休(職)金(退休俸)</t>
    <phoneticPr fontId="3" type="noConversion"/>
  </si>
  <si>
    <t>兼領一次退休(職)金與月退休(職)金</t>
    <phoneticPr fontId="3" type="noConversion"/>
  </si>
  <si>
    <t>附註：本表以參加公務人員退休撫卹基金之政務人員為統計對象。</t>
    <phoneticPr fontId="3" type="noConversion"/>
  </si>
  <si>
    <t>表13  參加退撫基金人員退休(職、伍)、資遣人數(按年齡分)</t>
    <phoneticPr fontId="3" type="noConversion"/>
  </si>
  <si>
    <t xml:space="preserve">  總計</t>
    <phoneticPr fontId="3" type="noConversion"/>
  </si>
  <si>
    <t xml:space="preserve">  22歲以下</t>
    <phoneticPr fontId="3" type="noConversion"/>
  </si>
  <si>
    <t xml:space="preserve">  26歲</t>
    <phoneticPr fontId="3" type="noConversion"/>
  </si>
  <si>
    <t xml:space="preserve">  27歲</t>
    <phoneticPr fontId="3" type="noConversion"/>
  </si>
  <si>
    <t xml:space="preserve">  28歲</t>
    <phoneticPr fontId="3" type="noConversion"/>
  </si>
  <si>
    <t xml:space="preserve">  29歲</t>
    <phoneticPr fontId="3" type="noConversion"/>
  </si>
  <si>
    <t xml:space="preserve">  30歲</t>
    <phoneticPr fontId="3" type="noConversion"/>
  </si>
  <si>
    <t xml:space="preserve">  31歲</t>
    <phoneticPr fontId="3" type="noConversion"/>
  </si>
  <si>
    <t xml:space="preserve">  45歲</t>
    <phoneticPr fontId="3" type="noConversion"/>
  </si>
  <si>
    <t xml:space="preserve">  46歲</t>
    <phoneticPr fontId="3" type="noConversion"/>
  </si>
  <si>
    <t xml:space="preserve">  47歲</t>
    <phoneticPr fontId="3" type="noConversion"/>
  </si>
  <si>
    <t xml:space="preserve">  48歲</t>
    <phoneticPr fontId="3" type="noConversion"/>
  </si>
  <si>
    <t xml:space="preserve">  49歲</t>
    <phoneticPr fontId="3" type="noConversion"/>
  </si>
  <si>
    <t xml:space="preserve">  50歲</t>
    <phoneticPr fontId="3" type="noConversion"/>
  </si>
  <si>
    <t xml:space="preserve">  51歲</t>
    <phoneticPr fontId="3" type="noConversion"/>
  </si>
  <si>
    <t xml:space="preserve">  52歲</t>
    <phoneticPr fontId="3" type="noConversion"/>
  </si>
  <si>
    <t xml:space="preserve">  53歲</t>
    <phoneticPr fontId="3" type="noConversion"/>
  </si>
  <si>
    <t xml:space="preserve">  54歲</t>
    <phoneticPr fontId="3" type="noConversion"/>
  </si>
  <si>
    <t xml:space="preserve">  55歲</t>
    <phoneticPr fontId="3" type="noConversion"/>
  </si>
  <si>
    <t xml:space="preserve">  56歲</t>
    <phoneticPr fontId="3" type="noConversion"/>
  </si>
  <si>
    <t xml:space="preserve">  57歲</t>
    <phoneticPr fontId="3" type="noConversion"/>
  </si>
  <si>
    <t xml:space="preserve">  58歲</t>
    <phoneticPr fontId="3" type="noConversion"/>
  </si>
  <si>
    <t xml:space="preserve">  59歲</t>
    <phoneticPr fontId="3" type="noConversion"/>
  </si>
  <si>
    <t xml:space="preserve">  60歲</t>
    <phoneticPr fontId="3" type="noConversion"/>
  </si>
  <si>
    <t xml:space="preserve">  61歲</t>
    <phoneticPr fontId="3" type="noConversion"/>
  </si>
  <si>
    <t xml:space="preserve">  62歲</t>
    <phoneticPr fontId="3" type="noConversion"/>
  </si>
  <si>
    <t xml:space="preserve">  63歲</t>
    <phoneticPr fontId="3" type="noConversion"/>
  </si>
  <si>
    <t xml:space="preserve">  64歲</t>
    <phoneticPr fontId="3" type="noConversion"/>
  </si>
  <si>
    <t xml:space="preserve">  65歲</t>
    <phoneticPr fontId="3" type="noConversion"/>
  </si>
  <si>
    <t xml:space="preserve">  66歲以上</t>
    <phoneticPr fontId="3" type="noConversion"/>
  </si>
  <si>
    <r>
      <t>平均年齡</t>
    </r>
    <r>
      <rPr>
        <sz val="10"/>
        <rFont val="Times New Roman"/>
        <family val="1"/>
      </rPr>
      <t/>
    </r>
    <phoneticPr fontId="3" type="noConversion"/>
  </si>
  <si>
    <r>
      <t>附註：1.本表以參加公務人員退休撫卹基金之政務人員、公務人員、教育人員及軍職人員為統計對象。</t>
    </r>
    <r>
      <rPr>
        <sz val="10"/>
        <rFont val="Times New Roman"/>
        <family val="1"/>
      </rPr>
      <t xml:space="preserve"> </t>
    </r>
    <phoneticPr fontId="3" type="noConversion"/>
  </si>
  <si>
    <t xml:space="preserve">        故為配合上開軍職人員服役滿3年即可辦理退役領取退伍金之規定(依一般推算年齡約22歲即可辦退)，</t>
    <phoneticPr fontId="3" type="noConversion"/>
  </si>
  <si>
    <t xml:space="preserve">        本表係以22歲作為統計人數之起算點。</t>
    <phoneticPr fontId="3" type="noConversion"/>
  </si>
  <si>
    <t>表14  政務人員退職人數(按年齡分)</t>
    <phoneticPr fontId="3" type="noConversion"/>
  </si>
  <si>
    <t xml:space="preserve">  45歲以下</t>
    <phoneticPr fontId="3" type="noConversion"/>
  </si>
  <si>
    <t xml:space="preserve">附註：本表以參加公務人員退休撫卹基金之政務人員為統計對象。           </t>
    <phoneticPr fontId="3" type="noConversion"/>
  </si>
  <si>
    <t>表15  公務人員退休、資遣人數(按年齡分)</t>
    <phoneticPr fontId="3" type="noConversion"/>
  </si>
  <si>
    <t>單位：人；歲</t>
    <phoneticPr fontId="3" type="noConversion"/>
  </si>
  <si>
    <t xml:space="preserve">  24歲以下</t>
    <phoneticPr fontId="3" type="noConversion"/>
  </si>
  <si>
    <t xml:space="preserve">  25歲</t>
    <phoneticPr fontId="3" type="noConversion"/>
  </si>
  <si>
    <r>
      <t>附註：本表以參加公務人員退休撫卹基金之公務人員為統計對象。</t>
    </r>
    <r>
      <rPr>
        <sz val="10"/>
        <rFont val="Times New Roman"/>
        <family val="1"/>
      </rPr>
      <t xml:space="preserve">           </t>
    </r>
    <phoneticPr fontId="3" type="noConversion"/>
  </si>
  <si>
    <t>表16  教育人員退休、資遣人數(按年齡分)</t>
    <phoneticPr fontId="3" type="noConversion"/>
  </si>
  <si>
    <t xml:space="preserve">附註：本表以參加公務人員退休撫卹基金之教育人員為統計對象。        </t>
    <phoneticPr fontId="3" type="noConversion"/>
  </si>
  <si>
    <t>表17  軍職人員退伍人數(按年齡分)</t>
    <phoneticPr fontId="3" type="noConversion"/>
  </si>
  <si>
    <t>退伍金</t>
    <phoneticPr fontId="3" type="noConversion"/>
  </si>
  <si>
    <t xml:space="preserve">退休俸 </t>
    <phoneticPr fontId="3" type="noConversion"/>
  </si>
  <si>
    <t xml:space="preserve">  42歲</t>
    <phoneticPr fontId="3" type="noConversion"/>
  </si>
  <si>
    <t xml:space="preserve">附註：1.本表以參加公務人員退休撫卹基金之軍職人員為統計對象。       </t>
    <phoneticPr fontId="3" type="noConversion"/>
  </si>
  <si>
    <t xml:space="preserve">      3.本表退休俸人數包含支領贍養金人數。</t>
    <phoneticPr fontId="3" type="noConversion"/>
  </si>
  <si>
    <t xml:space="preserve">           表23  參加退撫基金人員發還原繳付</t>
    <phoneticPr fontId="3" type="noConversion"/>
  </si>
  <si>
    <t>僅發還當事人</t>
    <phoneticPr fontId="3" type="noConversion"/>
  </si>
  <si>
    <t>繳付之基金費用</t>
    <phoneticPr fontId="3" type="noConversion"/>
  </si>
  <si>
    <r>
      <t>發還當事人及政府</t>
    </r>
    <r>
      <rPr>
        <sz val="12"/>
        <rFont val="標楷體"/>
        <family val="4"/>
        <charset val="136"/>
      </rPr>
      <t>繳付之基金費用</t>
    </r>
    <phoneticPr fontId="3" type="noConversion"/>
  </si>
  <si>
    <r>
      <t xml:space="preserve">     </t>
    </r>
    <r>
      <rPr>
        <sz val="11"/>
        <rFont val="標楷體"/>
        <family val="4"/>
        <charset val="136"/>
      </rPr>
      <t>26歲</t>
    </r>
    <phoneticPr fontId="3" type="noConversion"/>
  </si>
  <si>
    <r>
      <t xml:space="preserve">     </t>
    </r>
    <r>
      <rPr>
        <sz val="11"/>
        <rFont val="標楷體"/>
        <family val="4"/>
        <charset val="136"/>
      </rPr>
      <t>28歲</t>
    </r>
    <phoneticPr fontId="3" type="noConversion"/>
  </si>
  <si>
    <r>
      <t xml:space="preserve">     </t>
    </r>
    <r>
      <rPr>
        <sz val="11"/>
        <rFont val="標楷體"/>
        <family val="4"/>
        <charset val="136"/>
      </rPr>
      <t>29歲</t>
    </r>
    <phoneticPr fontId="3" type="noConversion"/>
  </si>
  <si>
    <r>
      <t xml:space="preserve">     </t>
    </r>
    <r>
      <rPr>
        <sz val="11"/>
        <rFont val="標楷體"/>
        <family val="4"/>
        <charset val="136"/>
      </rPr>
      <t>30歲</t>
    </r>
    <phoneticPr fontId="3" type="noConversion"/>
  </si>
  <si>
    <r>
      <t xml:space="preserve">     </t>
    </r>
    <r>
      <rPr>
        <sz val="11"/>
        <rFont val="標楷體"/>
        <family val="4"/>
        <charset val="136"/>
      </rPr>
      <t>31歲</t>
    </r>
    <phoneticPr fontId="3" type="noConversion"/>
  </si>
  <si>
    <r>
      <t xml:space="preserve">     </t>
    </r>
    <r>
      <rPr>
        <sz val="11"/>
        <rFont val="標楷體"/>
        <family val="4"/>
        <charset val="136"/>
      </rPr>
      <t>32歲</t>
    </r>
    <phoneticPr fontId="3" type="noConversion"/>
  </si>
  <si>
    <t>單位：新臺幣元；歲</t>
    <phoneticPr fontId="11" type="noConversion"/>
  </si>
  <si>
    <t>平均俸額</t>
    <phoneticPr fontId="3" type="noConversion"/>
  </si>
  <si>
    <r>
      <t>附註：本表以參加公務人員退休撫卹基金之政務人員、公務人員、教育人員及軍職人員為統計對象。</t>
    </r>
    <r>
      <rPr>
        <sz val="10"/>
        <rFont val="Times New Roman"/>
        <family val="1"/>
      </rPr>
      <t/>
    </r>
    <phoneticPr fontId="3" type="noConversion"/>
  </si>
  <si>
    <t xml:space="preserve">             均年齡</t>
    <phoneticPr fontId="3" type="noConversion"/>
  </si>
  <si>
    <t>總平均年齡</t>
    <phoneticPr fontId="3" type="noConversion"/>
  </si>
  <si>
    <t>退休平均年齡</t>
    <phoneticPr fontId="3" type="noConversion"/>
  </si>
  <si>
    <t>一次退休(職)金
(退伍金)</t>
    <phoneticPr fontId="3" type="noConversion"/>
  </si>
  <si>
    <t>月退休(職)金
(退休俸)</t>
    <phoneticPr fontId="3" type="noConversion"/>
  </si>
  <si>
    <t>兼領一次退休(職)
金與月退休(職)金</t>
    <phoneticPr fontId="3" type="noConversion"/>
  </si>
  <si>
    <t>102年</t>
    <phoneticPr fontId="3" type="noConversion"/>
  </si>
  <si>
    <t>表31  最近10年政務人員退職之平均年齡</t>
    <phoneticPr fontId="3" type="noConversion"/>
  </si>
  <si>
    <t>表32  最近10年公務人員退休、資遣之平均年齡</t>
    <phoneticPr fontId="3" type="noConversion"/>
  </si>
  <si>
    <t>單位：歲</t>
    <phoneticPr fontId="3" type="noConversion"/>
  </si>
  <si>
    <t>表33 最近10年教育人員退休、資遣之平均年齡</t>
    <phoneticPr fontId="3" type="noConversion"/>
  </si>
  <si>
    <t xml:space="preserve">附註：本表以參加公務人員退休撫卹基金之教育人員為統計對象。                </t>
    <phoneticPr fontId="3" type="noConversion"/>
  </si>
  <si>
    <t>表34  最近10年軍職人員退伍之平均年齡</t>
    <phoneticPr fontId="3" type="noConversion"/>
  </si>
  <si>
    <t xml:space="preserve">附註：本表以參加公務人員退休撫卹基金之軍職人員為統計對象。                  </t>
    <phoneticPr fontId="3" type="noConversion"/>
  </si>
  <si>
    <t>附註：1.本表以參加公務人員退休撫卹基金之政務人員、公務人員、教育人員及軍職人員為統計對象。</t>
    <phoneticPr fontId="11" type="noConversion"/>
  </si>
  <si>
    <t xml:space="preserve">單位：人；歲 </t>
    <phoneticPr fontId="3" type="noConversion"/>
  </si>
  <si>
    <t>基金費用人數(按年齡、身分別分)</t>
    <phoneticPr fontId="3" type="noConversion"/>
  </si>
  <si>
    <t>表2  最近10年參加</t>
    <phoneticPr fontId="3" type="noConversion"/>
  </si>
  <si>
    <t>106年</t>
  </si>
  <si>
    <t>107年</t>
    <phoneticPr fontId="3" type="noConversion"/>
  </si>
  <si>
    <t>一次撫卹金及
年(月)撫卹金</t>
    <phoneticPr fontId="3" type="noConversion"/>
  </si>
  <si>
    <t xml:space="preserve">      3.平均年齡係指支領起始時配偶之平均年齡。
      4.依年改後退撫相關法令規定，月撫慰金自107年7月1日起改稱遺屬年金。</t>
    <phoneticPr fontId="11" type="noConversion"/>
  </si>
  <si>
    <t>30–34歲</t>
    <phoneticPr fontId="3" type="noConversion"/>
  </si>
  <si>
    <t>35–39歲</t>
    <phoneticPr fontId="3" type="noConversion"/>
  </si>
  <si>
    <t>40–44歲</t>
    <phoneticPr fontId="3" type="noConversion"/>
  </si>
  <si>
    <t>55–59歲</t>
    <phoneticPr fontId="3" type="noConversion"/>
  </si>
  <si>
    <t>65歲以上</t>
    <phoneticPr fontId="3" type="noConversion"/>
  </si>
  <si>
    <t>病故或意外死亡</t>
    <phoneticPr fontId="3" type="noConversion"/>
  </si>
  <si>
    <t>因公死亡</t>
    <phoneticPr fontId="3" type="noConversion"/>
  </si>
  <si>
    <t>人員離退人數</t>
    <phoneticPr fontId="3" type="noConversion"/>
  </si>
  <si>
    <t>107年</t>
    <phoneticPr fontId="11" type="noConversion"/>
  </si>
  <si>
    <t>附註：本表以參加公務人員退休撫卹基金之公務人員為統計對象。</t>
    <phoneticPr fontId="3" type="noConversion"/>
  </si>
  <si>
    <t xml:space="preserve">單位：人 </t>
    <phoneticPr fontId="3" type="noConversion"/>
  </si>
  <si>
    <t>退休俸</t>
    <phoneticPr fontId="3" type="noConversion"/>
  </si>
  <si>
    <t xml:space="preserve">附註：本表以參加公務人員退休撫卹基金之軍職人員為統計對象。          </t>
    <phoneticPr fontId="3" type="noConversion"/>
  </si>
  <si>
    <t>表10  政務人員離退</t>
    <phoneticPr fontId="3" type="noConversion"/>
  </si>
  <si>
    <t>人數(按政府別分)</t>
    <phoneticPr fontId="3" type="noConversion"/>
  </si>
  <si>
    <t>表18  參加退撫基金人員撫卹人數(按年齡分)</t>
    <phoneticPr fontId="3" type="noConversion"/>
  </si>
  <si>
    <t>45–49歲</t>
    <phoneticPr fontId="3" type="noConversion"/>
  </si>
  <si>
    <t>50–54歲</t>
    <phoneticPr fontId="3" type="noConversion"/>
  </si>
  <si>
    <t>60–64歲</t>
    <phoneticPr fontId="3" type="noConversion"/>
  </si>
  <si>
    <t>表20  公務人員撫卹人數(按年齡分)</t>
    <phoneticPr fontId="3" type="noConversion"/>
  </si>
  <si>
    <t xml:space="preserve">    表27  最近10年參加退撫基金人員退休(職、伍)平均俸額及</t>
    <phoneticPr fontId="3" type="noConversion"/>
  </si>
  <si>
    <t xml:space="preserve">          平均年齡</t>
    <phoneticPr fontId="3" type="noConversion"/>
  </si>
  <si>
    <t xml:space="preserve">          平均年齡(月退，含兼領)</t>
    <phoneticPr fontId="3" type="noConversion"/>
  </si>
  <si>
    <t>105年</t>
    <phoneticPr fontId="11" type="noConversion"/>
  </si>
  <si>
    <t>單位：人</t>
    <phoneticPr fontId="11" type="noConversion"/>
  </si>
  <si>
    <t xml:space="preserve">          及其平均年齡</t>
    <phoneticPr fontId="3" type="noConversion"/>
  </si>
  <si>
    <t xml:space="preserve">         子女人數及其平均年齡</t>
    <phoneticPr fontId="3" type="noConversion"/>
  </si>
  <si>
    <t xml:space="preserve">      3.平均年齡係指支領起始時未成年子女之平均年齡。
      4.依年改後退撫相關法令規定，月撫慰金自107年7月1日起改稱遺屬年金。</t>
    <phoneticPr fontId="11" type="noConversion"/>
  </si>
  <si>
    <t>表3  最近10年參加退撫基金人員退休(職、伍)、資遣人數</t>
    <phoneticPr fontId="3" type="noConversion"/>
  </si>
  <si>
    <t>單位：人</t>
    <phoneticPr fontId="3" type="noConversion"/>
  </si>
  <si>
    <t>項目別</t>
    <phoneticPr fontId="3" type="noConversion"/>
  </si>
  <si>
    <t>總計</t>
    <phoneticPr fontId="3" type="noConversion"/>
  </si>
  <si>
    <t>退休(職、伍)</t>
    <phoneticPr fontId="3" type="noConversion"/>
  </si>
  <si>
    <t>資遣</t>
    <phoneticPr fontId="3" type="noConversion"/>
  </si>
  <si>
    <t>小計</t>
    <phoneticPr fontId="3" type="noConversion"/>
  </si>
  <si>
    <t>一次退休(職)金(退伍金)</t>
    <phoneticPr fontId="3" type="noConversion"/>
  </si>
  <si>
    <t>月退休(職)金(退休俸)</t>
    <phoneticPr fontId="3" type="noConversion"/>
  </si>
  <si>
    <t>兼領一次退休(職)金與月退休(職)金</t>
    <phoneticPr fontId="3" type="noConversion"/>
  </si>
  <si>
    <t>合計</t>
    <phoneticPr fontId="3" type="noConversion"/>
  </si>
  <si>
    <t>104年</t>
    <phoneticPr fontId="3" type="noConversion"/>
  </si>
  <si>
    <t>105年</t>
    <phoneticPr fontId="3" type="noConversion"/>
  </si>
  <si>
    <t>106年</t>
    <phoneticPr fontId="3" type="noConversion"/>
  </si>
  <si>
    <t>附註：本表以參加公務人員退休撫卹基金之政務人員、公務人員、教育人員及軍職人員為統計對象。</t>
    <phoneticPr fontId="3" type="noConversion"/>
  </si>
  <si>
    <t>表4  最近10年參加退撫基金人員撫卹人數</t>
    <phoneticPr fontId="3" type="noConversion"/>
  </si>
  <si>
    <t>病故或意外死亡</t>
    <phoneticPr fontId="3" type="noConversion"/>
  </si>
  <si>
    <t>因公死亡</t>
    <phoneticPr fontId="3" type="noConversion"/>
  </si>
  <si>
    <t>一次撫卹金</t>
    <phoneticPr fontId="3" type="noConversion"/>
  </si>
  <si>
    <t>一次撫卹金及
年(月)撫卹金
(一次卹金及年撫金)</t>
    <phoneticPr fontId="3" type="noConversion"/>
  </si>
  <si>
    <t>合計</t>
    <phoneticPr fontId="3" type="noConversion"/>
  </si>
  <si>
    <t>104年</t>
    <phoneticPr fontId="3" type="noConversion"/>
  </si>
  <si>
    <t>107年</t>
    <phoneticPr fontId="3" type="noConversion"/>
  </si>
  <si>
    <t>表5  最近10年參加退撫基金人員發還原繳付基金費用人數</t>
    <phoneticPr fontId="3" type="noConversion"/>
  </si>
  <si>
    <t>僅發還當事人
繳付之基金費用</t>
    <phoneticPr fontId="3" type="noConversion"/>
  </si>
  <si>
    <t>發還當事人及政府
繳付之基金費用</t>
    <phoneticPr fontId="3" type="noConversion"/>
  </si>
  <si>
    <t>103年</t>
    <phoneticPr fontId="3" type="noConversion"/>
  </si>
  <si>
    <t>表6  最近10年政務</t>
    <phoneticPr fontId="3" type="noConversion"/>
  </si>
  <si>
    <t>人員離退人數</t>
    <phoneticPr fontId="3" type="noConversion"/>
  </si>
  <si>
    <t>退職</t>
    <phoneticPr fontId="3" type="noConversion"/>
  </si>
  <si>
    <t>撫卹</t>
    <phoneticPr fontId="3" type="noConversion"/>
  </si>
  <si>
    <t>發還原繳付
基金費用</t>
    <phoneticPr fontId="3" type="noConversion"/>
  </si>
  <si>
    <t>一次退職金</t>
    <phoneticPr fontId="3" type="noConversion"/>
  </si>
  <si>
    <t>月退職金</t>
    <phoneticPr fontId="3" type="noConversion"/>
  </si>
  <si>
    <t>兼領一次退職
金與月退職金</t>
    <phoneticPr fontId="3" type="noConversion"/>
  </si>
  <si>
    <t>小計</t>
    <phoneticPr fontId="3" type="noConversion"/>
  </si>
  <si>
    <t>病故或意外死亡</t>
    <phoneticPr fontId="3" type="noConversion"/>
  </si>
  <si>
    <t>因公死亡</t>
    <phoneticPr fontId="3" type="noConversion"/>
  </si>
  <si>
    <t>計</t>
    <phoneticPr fontId="3" type="noConversion"/>
  </si>
  <si>
    <t>計</t>
    <phoneticPr fontId="3" type="noConversion"/>
  </si>
  <si>
    <t>一次撫卹金</t>
    <phoneticPr fontId="3" type="noConversion"/>
  </si>
  <si>
    <t>104年</t>
    <phoneticPr fontId="11" type="noConversion"/>
  </si>
  <si>
    <t>106年</t>
    <phoneticPr fontId="11" type="noConversion"/>
  </si>
  <si>
    <t>表7  最近10年公務</t>
    <phoneticPr fontId="3" type="noConversion"/>
  </si>
  <si>
    <t>退休</t>
    <phoneticPr fontId="3" type="noConversion"/>
  </si>
  <si>
    <r>
      <t>一次</t>
    </r>
    <r>
      <rPr>
        <sz val="12"/>
        <rFont val="標楷體"/>
        <family val="4"/>
        <charset val="136"/>
      </rPr>
      <t>退休金</t>
    </r>
    <phoneticPr fontId="3" type="noConversion"/>
  </si>
  <si>
    <t>月退休金</t>
    <phoneticPr fontId="3" type="noConversion"/>
  </si>
  <si>
    <t>兼領一次退休
金與月退休金</t>
    <phoneticPr fontId="3" type="noConversion"/>
  </si>
  <si>
    <t>計</t>
    <phoneticPr fontId="3" type="noConversion"/>
  </si>
  <si>
    <t>106年</t>
    <phoneticPr fontId="3" type="noConversion"/>
  </si>
  <si>
    <t>表8  最近10年教育</t>
    <phoneticPr fontId="3" type="noConversion"/>
  </si>
  <si>
    <t>表9  最近10年軍職</t>
    <phoneticPr fontId="3" type="noConversion"/>
  </si>
  <si>
    <t>表11  公務人員離退</t>
    <phoneticPr fontId="3" type="noConversion"/>
  </si>
  <si>
    <t>表12  教育人員離退</t>
    <phoneticPr fontId="3" type="noConversion"/>
  </si>
  <si>
    <t>表19  政務人員撫卹人數(按年齡分)</t>
    <phoneticPr fontId="3" type="noConversion"/>
  </si>
  <si>
    <t>表21  教育人員撫卹人數(按年齡分)</t>
    <phoneticPr fontId="3" type="noConversion"/>
  </si>
  <si>
    <t>表22    軍職人員撫卹人數(按年齡分)</t>
    <phoneticPr fontId="3" type="noConversion"/>
  </si>
  <si>
    <t>項目別</t>
    <phoneticPr fontId="3" type="noConversion"/>
  </si>
  <si>
    <t>總計</t>
    <phoneticPr fontId="3" type="noConversion"/>
  </si>
  <si>
    <t>小計</t>
    <phoneticPr fontId="3" type="noConversion"/>
  </si>
  <si>
    <t>24歲以下</t>
    <phoneticPr fontId="3" type="noConversion"/>
  </si>
  <si>
    <t>25–29歲</t>
    <phoneticPr fontId="3" type="noConversion"/>
  </si>
  <si>
    <t>30–34歲</t>
    <phoneticPr fontId="3" type="noConversion"/>
  </si>
  <si>
    <t>35–39歲</t>
    <phoneticPr fontId="3" type="noConversion"/>
  </si>
  <si>
    <t>40–44歲</t>
    <phoneticPr fontId="3" type="noConversion"/>
  </si>
  <si>
    <t>45–49歲</t>
    <phoneticPr fontId="3" type="noConversion"/>
  </si>
  <si>
    <t>50–54歲</t>
    <phoneticPr fontId="3" type="noConversion"/>
  </si>
  <si>
    <t>55–59歲</t>
    <phoneticPr fontId="3" type="noConversion"/>
  </si>
  <si>
    <t>60–64歲</t>
    <phoneticPr fontId="3" type="noConversion"/>
  </si>
  <si>
    <t>65歲以上</t>
    <phoneticPr fontId="3" type="noConversion"/>
  </si>
  <si>
    <t xml:space="preserve">附註：本表以參加公務人員退休撫卹基金之軍職人員為統計對象。                    </t>
    <phoneticPr fontId="3" type="noConversion"/>
  </si>
  <si>
    <t xml:space="preserve">         表24 參加退撫基金人員退休(職、伍)平均俸額及平均</t>
    <phoneticPr fontId="3" type="noConversion"/>
  </si>
  <si>
    <t xml:space="preserve">              年齡(按政府別分)</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</si>
  <si>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</si>
  <si>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</si>
  <si>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</si>
  <si>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</si>
  <si>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</si>
  <si>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</si>
  <si>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</si>
  <si>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</si>
  <si>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直轄市政府</t>
    <phoneticPr fontId="3" type="noConversion"/>
  </si>
  <si>
    <t>鄉鎮市公所</t>
    <phoneticPr fontId="3" type="noConversion"/>
  </si>
  <si>
    <r>
      <t>公營事業</t>
    </r>
    <r>
      <rPr>
        <sz val="11"/>
        <rFont val="Times New Roman"/>
        <family val="1"/>
      </rPr>
      <t xml:space="preserve">             </t>
    </r>
    <r>
      <rPr>
        <sz val="11"/>
        <rFont val="標楷體"/>
        <family val="4"/>
        <charset val="136"/>
      </rPr>
      <t>機構</t>
    </r>
    <phoneticPr fontId="3" type="noConversion"/>
  </si>
  <si>
    <r>
      <t>附註：本表以參加公務人員退休撫卹基金之政務人員、公務人員、教育人員及軍職人員為統計對象。</t>
    </r>
    <r>
      <rPr>
        <sz val="10"/>
        <rFont val="Times New Roman"/>
        <family val="1"/>
      </rPr>
      <t/>
    </r>
    <phoneticPr fontId="3" type="noConversion"/>
  </si>
  <si>
    <t xml:space="preserve">         表25  參加退撫基金人員撫卹平均俸額及平均年齡(按</t>
    <phoneticPr fontId="3" type="noConversion"/>
  </si>
  <si>
    <t xml:space="preserve">               政府別分)</t>
    <phoneticPr fontId="3" type="noConversion"/>
  </si>
  <si>
    <t>表26  最近10年參加退撫基金人員之平均俸額及平均年齡</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</si>
  <si>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</si>
  <si>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</si>
  <si>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</si>
  <si>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</si>
  <si>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</si>
  <si>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</si>
  <si>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</si>
  <si>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</si>
  <si>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104年</t>
    <phoneticPr fontId="11" type="noConversion"/>
  </si>
  <si>
    <t>106年</t>
    <phoneticPr fontId="11" type="noConversion"/>
  </si>
  <si>
    <r>
      <t>附註：本表以參加公務人員退休撫卹基金之政務人員、公務人員、教育人員及軍職人員為統計對象。</t>
    </r>
    <r>
      <rPr>
        <sz val="10"/>
        <rFont val="Times New Roman"/>
        <family val="1"/>
      </rPr>
      <t/>
    </r>
    <phoneticPr fontId="3" type="noConversion"/>
  </si>
  <si>
    <t>104年</t>
    <phoneticPr fontId="11" type="noConversion"/>
  </si>
  <si>
    <t>106年</t>
    <phoneticPr fontId="11" type="noConversion"/>
  </si>
  <si>
    <r>
      <t>附註：本表以參加公務人員退休撫卹基金之政務人員、公務人員、教育人員及軍職人員為統計對象。</t>
    </r>
    <r>
      <rPr>
        <sz val="10"/>
        <rFont val="Times New Roman"/>
        <family val="1"/>
      </rPr>
      <t/>
    </r>
    <phoneticPr fontId="3" type="noConversion"/>
  </si>
  <si>
    <t xml:space="preserve">   表28  最近10年參加退撫基金人員退休(職、伍)平均俸額及</t>
    <phoneticPr fontId="3" type="noConversion"/>
  </si>
  <si>
    <t xml:space="preserve">         平均年齡(一次退)</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</si>
  <si>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</si>
  <si>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</si>
  <si>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</si>
  <si>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</si>
  <si>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</si>
  <si>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</si>
  <si>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</si>
  <si>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</si>
  <si>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104年</t>
    <phoneticPr fontId="11" type="noConversion"/>
  </si>
  <si>
    <t>106年</t>
    <phoneticPr fontId="11" type="noConversion"/>
  </si>
  <si>
    <t xml:space="preserve">    表29  最近10年參加退撫基金人員退休(職、伍)平均俸額及</t>
    <phoneticPr fontId="3" type="noConversion"/>
  </si>
  <si>
    <t xml:space="preserve">         及其平均年齡</t>
    <phoneticPr fontId="3" type="noConversion"/>
  </si>
  <si>
    <t xml:space="preserve">      3.平均年齡係指支領起始時父母之平均年齡。
      4.依年改後退撫相關法令規定，月撫慰金自107年7月1日起改稱遺屬年金。</t>
    <phoneticPr fontId="11" type="noConversion"/>
  </si>
  <si>
    <t>一次撫卹金及
年(月)撫卹金
(一次卹金及年撫金)</t>
    <phoneticPr fontId="3" type="noConversion"/>
  </si>
  <si>
    <t xml:space="preserve">      2.依陸海空軍軍官士官服役條例第23條規定，服現役3年以上未滿20年者，按服現役年資，給與退伍金。</t>
    <phoneticPr fontId="3" type="noConversion"/>
  </si>
  <si>
    <t>30–34歲</t>
    <phoneticPr fontId="3" type="noConversion"/>
  </si>
  <si>
    <r>
      <t xml:space="preserve">     </t>
    </r>
    <r>
      <rPr>
        <sz val="11"/>
        <rFont val="標楷體"/>
        <family val="4"/>
        <charset val="136"/>
      </rPr>
      <t>27歲</t>
    </r>
    <phoneticPr fontId="3" type="noConversion"/>
  </si>
  <si>
    <t xml:space="preserve">      2.依陸海空軍軍官士官服役條例第23條第2項規定，服現役20年以上，或服現役15年以上年滿60</t>
    <phoneticPr fontId="3" type="noConversion"/>
  </si>
  <si>
    <t xml:space="preserve">        歲者，依服現役年資，按月給與退休俸終身。是以，軍職人員如服現役20年以上退役並擇領退</t>
    <phoneticPr fontId="3" type="noConversion"/>
  </si>
  <si>
    <t xml:space="preserve">        休俸者，並無年齡限制，故依基金管理會建檔資料統計結果，自35歲起即有支領退休俸人員之</t>
    <phoneticPr fontId="3" type="noConversion"/>
  </si>
  <si>
    <t xml:space="preserve">        統計數據。</t>
    <phoneticPr fontId="3" type="noConversion"/>
  </si>
  <si>
    <t>歷年合計</t>
    <phoneticPr fontId="3" type="noConversion"/>
  </si>
  <si>
    <t>一次撫卹金及
年(月)撫卹金</t>
    <phoneticPr fontId="3" type="noConversion"/>
  </si>
  <si>
    <t>一次卹金
及年撫金</t>
    <phoneticPr fontId="3" type="noConversion"/>
  </si>
  <si>
    <t>兼領一次退休
金與月退休金</t>
    <phoneticPr fontId="3" type="noConversion"/>
  </si>
  <si>
    <t>總計</t>
    <phoneticPr fontId="11" type="noConversion"/>
  </si>
  <si>
    <t>表49  定期退撫給與之發放人數及金額明細</t>
    <phoneticPr fontId="3" type="noConversion"/>
  </si>
  <si>
    <r>
      <t xml:space="preserve">月退休金
</t>
    </r>
    <r>
      <rPr>
        <sz val="10"/>
        <rFont val="Times New Roman"/>
        <family val="1"/>
      </rPr>
      <t>(</t>
    </r>
    <r>
      <rPr>
        <sz val="10"/>
        <rFont val="標楷體"/>
        <family val="4"/>
        <charset val="136"/>
      </rPr>
      <t>退休俸</t>
    </r>
    <r>
      <rPr>
        <sz val="10"/>
        <rFont val="Times New Roman"/>
        <family val="1"/>
      </rPr>
      <t>)</t>
    </r>
    <phoneticPr fontId="3" type="noConversion"/>
  </si>
  <si>
    <r>
      <t>因公傷病
退休</t>
    </r>
    <r>
      <rPr>
        <sz val="10"/>
        <rFont val="Times New Roman"/>
        <family val="1"/>
      </rPr>
      <t>(</t>
    </r>
    <r>
      <rPr>
        <sz val="10"/>
        <rFont val="標楷體"/>
        <family val="4"/>
        <charset val="136"/>
      </rPr>
      <t>職</t>
    </r>
    <r>
      <rPr>
        <sz val="10"/>
        <rFont val="Times New Roman"/>
        <family val="1"/>
      </rPr>
      <t>)</t>
    </r>
    <r>
      <rPr>
        <sz val="10"/>
        <rFont val="標楷體"/>
        <family val="4"/>
        <charset val="136"/>
      </rPr>
      <t>金</t>
    </r>
    <phoneticPr fontId="3" type="noConversion"/>
  </si>
  <si>
    <t>贍養金半數</t>
    <phoneticPr fontId="3" type="noConversion"/>
  </si>
  <si>
    <t xml:space="preserve"> </t>
    <phoneticPr fontId="11" type="noConversion"/>
  </si>
  <si>
    <t>105年</t>
    <phoneticPr fontId="3" type="noConversion"/>
  </si>
  <si>
    <t>政+公</t>
    <phoneticPr fontId="3" type="noConversion"/>
  </si>
  <si>
    <t>月退+兼領</t>
    <phoneticPr fontId="3" type="noConversion"/>
  </si>
  <si>
    <t>CHECK</t>
    <phoneticPr fontId="3" type="noConversion"/>
  </si>
  <si>
    <t>CHECK</t>
    <phoneticPr fontId="3" type="noConversion"/>
  </si>
  <si>
    <r>
      <t xml:space="preserve">附註：1.本表以參加公務人員退休撫卹基金之政務人員、公務人員、教育人員及軍職人員為統計對象。
      2.依年改後退撫相關法令規定，公、教人員年撫卹金自107年7月1日改為月撫卹金。
</t>
    </r>
    <r>
      <rPr>
        <sz val="10"/>
        <rFont val="Times New Roman"/>
        <family val="1"/>
      </rPr>
      <t/>
    </r>
    <phoneticPr fontId="3" type="noConversion"/>
  </si>
  <si>
    <r>
      <t xml:space="preserve">附註：1.本表以參加公務人員退休撫卹基金之公務人員為統計對象。
      2.依年改後退撫相關法令規定，公務人員年撫卹金自107年7月1日改為月撫卹金。
</t>
    </r>
    <r>
      <rPr>
        <sz val="10"/>
        <rFont val="Times New Roman"/>
        <family val="1"/>
      </rPr>
      <t/>
    </r>
    <phoneticPr fontId="3" type="noConversion"/>
  </si>
  <si>
    <r>
      <t xml:space="preserve">附註：1.本表以參加公務人員退休撫卹基金之教育人員為統計對象。
      2.依年改後退撫相關法令規定，教育人員年撫卹金自107年7月1日改為月撫卹金。
</t>
    </r>
    <r>
      <rPr>
        <sz val="10"/>
        <rFont val="Times New Roman"/>
        <family val="1"/>
      </rPr>
      <t/>
    </r>
    <phoneticPr fontId="3" type="noConversion"/>
  </si>
  <si>
    <t>105年</t>
    <phoneticPr fontId="3" type="noConversion"/>
  </si>
  <si>
    <t>表41  公務人員退撫支出</t>
    <phoneticPr fontId="3" type="noConversion"/>
  </si>
  <si>
    <t>附註：1.本表以參加公務人員退休撫卹基金之政務人員、公務人員、教育人員及軍職人員為統計對象。
      2.依年改後退撫相關法令規定，一次撫慰金自107年7月1日起改稱遺屬一次金。</t>
    <phoneticPr fontId="11" type="noConversion"/>
  </si>
  <si>
    <t xml:space="preserve">       表30  最近10年參加退撫基金人員退休(職、伍)、資遣之平</t>
    <phoneticPr fontId="3" type="noConversion"/>
  </si>
  <si>
    <t>108年</t>
    <phoneticPr fontId="3" type="noConversion"/>
  </si>
  <si>
    <t>退撫基金人數</t>
    <phoneticPr fontId="3" type="noConversion"/>
  </si>
  <si>
    <t>中華民國99年</t>
    <phoneticPr fontId="3" type="noConversion"/>
  </si>
  <si>
    <t>底至108年底</t>
    <phoneticPr fontId="3" type="noConversion"/>
  </si>
  <si>
    <t>單位：人</t>
    <phoneticPr fontId="3" type="noConversion"/>
  </si>
  <si>
    <t>中央政府</t>
    <phoneticPr fontId="3" type="noConversion"/>
  </si>
  <si>
    <t>直轄市政府</t>
    <phoneticPr fontId="3" type="noConversion"/>
  </si>
  <si>
    <t>縣市政府</t>
    <phoneticPr fontId="3" type="noConversion"/>
  </si>
  <si>
    <t>鄉鎮市公所</t>
    <phoneticPr fontId="3" type="noConversion"/>
  </si>
  <si>
    <t>公營事業機構</t>
    <phoneticPr fontId="3" type="noConversion"/>
  </si>
  <si>
    <t>小計</t>
    <phoneticPr fontId="3" type="noConversion"/>
  </si>
  <si>
    <t>男性</t>
    <phoneticPr fontId="3" type="noConversion"/>
  </si>
  <si>
    <t>女性</t>
    <phoneticPr fontId="3" type="noConversion"/>
  </si>
  <si>
    <t>軍職
人員</t>
    <phoneticPr fontId="3" type="noConversion"/>
  </si>
  <si>
    <t>92年</t>
    <phoneticPr fontId="3" type="noConversion"/>
  </si>
  <si>
    <t>104年</t>
    <phoneticPr fontId="3" type="noConversion"/>
  </si>
  <si>
    <t>105年</t>
    <phoneticPr fontId="3" type="noConversion"/>
  </si>
  <si>
    <t>106年</t>
    <phoneticPr fontId="3" type="noConversion"/>
  </si>
  <si>
    <t>107年</t>
    <phoneticPr fontId="3" type="noConversion"/>
  </si>
  <si>
    <t>108年</t>
    <phoneticPr fontId="3" type="noConversion"/>
  </si>
  <si>
    <t>男性</t>
    <phoneticPr fontId="3" type="noConversion"/>
  </si>
  <si>
    <t>女性</t>
    <phoneticPr fontId="3" type="noConversion"/>
  </si>
  <si>
    <t>108年</t>
    <phoneticPr fontId="3" type="noConversion"/>
  </si>
  <si>
    <t xml:space="preserve">                               中華民國99年至108年</t>
    <phoneticPr fontId="3" type="noConversion"/>
  </si>
  <si>
    <t>107年</t>
    <phoneticPr fontId="3" type="noConversion"/>
  </si>
  <si>
    <t xml:space="preserve">                                   中華民國99年至108年                      單位：人</t>
    <phoneticPr fontId="3" type="noConversion"/>
  </si>
  <si>
    <r>
      <t xml:space="preserve">                            中華民國99年至108年                      </t>
    </r>
    <r>
      <rPr>
        <sz val="10"/>
        <rFont val="標楷體"/>
        <family val="4"/>
        <charset val="136"/>
      </rPr>
      <t>單位：人</t>
    </r>
    <r>
      <rPr>
        <sz val="12"/>
        <rFont val="標楷體"/>
        <family val="4"/>
        <charset val="136"/>
      </rPr>
      <t xml:space="preserve">                                                 </t>
    </r>
    <phoneticPr fontId="3" type="noConversion"/>
  </si>
  <si>
    <t>中華民國99</t>
    <phoneticPr fontId="3" type="noConversion"/>
  </si>
  <si>
    <t>年至108年</t>
    <phoneticPr fontId="3" type="noConversion"/>
  </si>
  <si>
    <t>108年</t>
    <phoneticPr fontId="11" type="noConversion"/>
  </si>
  <si>
    <r>
      <t>中華民國</t>
    </r>
    <r>
      <rPr>
        <sz val="12"/>
        <rFont val="Times New Roman"/>
        <family val="1"/>
      </rPr>
      <t xml:space="preserve">99   </t>
    </r>
    <phoneticPr fontId="3" type="noConversion"/>
  </si>
  <si>
    <t>國108年</t>
    <phoneticPr fontId="3" type="noConversion"/>
  </si>
  <si>
    <t xml:space="preserve">  男性</t>
    <phoneticPr fontId="3" type="noConversion"/>
  </si>
  <si>
    <t xml:space="preserve">  男性</t>
    <phoneticPr fontId="3" type="noConversion"/>
  </si>
  <si>
    <t xml:space="preserve">  女性</t>
    <phoneticPr fontId="3" type="noConversion"/>
  </si>
  <si>
    <t xml:space="preserve">  女性</t>
    <phoneticPr fontId="3" type="noConversion"/>
  </si>
  <si>
    <t>公營事業機構</t>
    <phoneticPr fontId="3" type="noConversion"/>
  </si>
  <si>
    <t xml:space="preserve">                              中華民國108年                                                                                                            </t>
    <phoneticPr fontId="3" type="noConversion"/>
  </si>
  <si>
    <t xml:space="preserve">                                    中華民國108年                                                                                                          </t>
    <phoneticPr fontId="3" type="noConversion"/>
  </si>
  <si>
    <r>
      <t xml:space="preserve">                                     中華民國108年     </t>
    </r>
    <r>
      <rPr>
        <sz val="10"/>
        <rFont val="標楷體"/>
        <family val="4"/>
        <charset val="136"/>
      </rPr>
      <t xml:space="preserve">       </t>
    </r>
    <r>
      <rPr>
        <sz val="12"/>
        <rFont val="標楷體"/>
        <family val="4"/>
        <charset val="136"/>
      </rPr>
      <t xml:space="preserve">                                                                            </t>
    </r>
    <phoneticPr fontId="3" type="noConversion"/>
  </si>
  <si>
    <t xml:space="preserve">                                      中華民國108年                                                                                                       </t>
    <phoneticPr fontId="3" type="noConversion"/>
  </si>
  <si>
    <t xml:space="preserve">                                       中華民國108年                                 </t>
    <phoneticPr fontId="3" type="noConversion"/>
  </si>
  <si>
    <t xml:space="preserve">                                      中華民國108年                         </t>
    <phoneticPr fontId="3" type="noConversion"/>
  </si>
  <si>
    <t xml:space="preserve">                                     中華民國108年                     單位：人                  </t>
    <phoneticPr fontId="3" type="noConversion"/>
  </si>
  <si>
    <t xml:space="preserve">                                  中華民國108年      </t>
    <phoneticPr fontId="3" type="noConversion"/>
  </si>
  <si>
    <t xml:space="preserve">                                    中華民國108年</t>
    <phoneticPr fontId="3" type="noConversion"/>
  </si>
  <si>
    <t xml:space="preserve">                              中華民國99年至108年        </t>
    <phoneticPr fontId="3" type="noConversion"/>
  </si>
  <si>
    <t xml:space="preserve">                              中華民國99年至108年         </t>
    <phoneticPr fontId="3" type="noConversion"/>
  </si>
  <si>
    <t xml:space="preserve">                             中華民國99年至108年          </t>
    <phoneticPr fontId="3" type="noConversion"/>
  </si>
  <si>
    <t xml:space="preserve">                            中華民國99年至108年          </t>
    <phoneticPr fontId="3" type="noConversion"/>
  </si>
  <si>
    <t xml:space="preserve">                               中華民國99年至108年                                                                                                          </t>
    <phoneticPr fontId="3" type="noConversion"/>
  </si>
  <si>
    <t xml:space="preserve">                             中華民國99年至108年                                                                                                              </t>
    <phoneticPr fontId="3" type="noConversion"/>
  </si>
  <si>
    <t xml:space="preserve">                              中華民國99年至108年                                                                                                              </t>
    <phoneticPr fontId="3" type="noConversion"/>
  </si>
  <si>
    <t xml:space="preserve">                              中華民國99年至108年                                                                                                </t>
    <phoneticPr fontId="3" type="noConversion"/>
  </si>
  <si>
    <r>
      <t xml:space="preserve">                              中華民國99年至108年                      </t>
    </r>
    <r>
      <rPr>
        <sz val="10"/>
        <rFont val="標楷體"/>
        <family val="4"/>
        <charset val="136"/>
      </rPr>
      <t>單位：歲</t>
    </r>
    <r>
      <rPr>
        <sz val="12"/>
        <rFont val="標楷體"/>
        <family val="4"/>
        <charset val="136"/>
      </rPr>
      <t xml:space="preserve">                                                                                   </t>
    </r>
    <phoneticPr fontId="3" type="noConversion"/>
  </si>
  <si>
    <t xml:space="preserve">                              中華民國99年至108年             </t>
    <phoneticPr fontId="3" type="noConversion"/>
  </si>
  <si>
    <t>與107check</t>
    <phoneticPr fontId="3" type="noConversion"/>
  </si>
  <si>
    <t>表39  最近10年退撫基金</t>
    <phoneticPr fontId="3" type="noConversion"/>
  </si>
  <si>
    <t>收支(不含運用部分)</t>
    <phoneticPr fontId="3" type="noConversion"/>
  </si>
  <si>
    <r>
      <t>中華民國</t>
    </r>
    <r>
      <rPr>
        <sz val="12"/>
        <rFont val="Times New Roman"/>
        <family val="1"/>
      </rPr>
      <t xml:space="preserve">99                                                                                                 </t>
    </r>
    <r>
      <rPr>
        <sz val="10"/>
        <rFont val="標楷體"/>
        <family val="4"/>
        <charset val="136"/>
      </rPr>
      <t/>
    </r>
    <phoneticPr fontId="3" type="noConversion"/>
  </si>
  <si>
    <t xml:space="preserve">年至108年                </t>
    <phoneticPr fontId="3" type="noConversion"/>
  </si>
  <si>
    <t xml:space="preserve">單位：新臺幣千元；%  </t>
    <phoneticPr fontId="3" type="noConversion"/>
  </si>
  <si>
    <r>
      <t xml:space="preserve">基金給付
</t>
    </r>
    <r>
      <rPr>
        <sz val="11"/>
        <rFont val="Times New Roman"/>
        <family val="1"/>
      </rPr>
      <t xml:space="preserve"> </t>
    </r>
    <r>
      <rPr>
        <sz val="11"/>
        <rFont val="標楷體"/>
        <family val="4"/>
        <charset val="136"/>
      </rPr>
      <t>(B)</t>
    </r>
    <phoneticPr fontId="3" type="noConversion"/>
  </si>
  <si>
    <t>給付佔收繳比例(%)                                  (C=B/A*100)</t>
    <phoneticPr fontId="3" type="noConversion"/>
  </si>
  <si>
    <r>
      <t>基金本金賸餘</t>
    </r>
    <r>
      <rPr>
        <sz val="11"/>
        <rFont val="Times New Roman"/>
        <family val="1"/>
      </rPr>
      <t xml:space="preserve"> </t>
    </r>
    <r>
      <rPr>
        <sz val="11"/>
        <rFont val="標楷體"/>
        <family val="4"/>
        <charset val="136"/>
      </rPr>
      <t xml:space="preserve">                                                   (D=A-B)</t>
    </r>
    <phoneticPr fontId="3" type="noConversion"/>
  </si>
  <si>
    <t>政務
人員</t>
    <phoneticPr fontId="3" type="noConversion"/>
  </si>
  <si>
    <t>公務
人員</t>
    <phoneticPr fontId="3" type="noConversion"/>
  </si>
  <si>
    <t>教育
人員</t>
    <phoneticPr fontId="3" type="noConversion"/>
  </si>
  <si>
    <t>85至
98年</t>
    <phoneticPr fontId="3" type="noConversion"/>
  </si>
  <si>
    <t>*</t>
    <phoneticPr fontId="3" type="noConversion"/>
  </si>
  <si>
    <t>*</t>
  </si>
  <si>
    <r>
      <t>附註</t>
    </r>
    <r>
      <rPr>
        <sz val="10"/>
        <rFont val="Times New Roman"/>
        <family val="1"/>
      </rPr>
      <t>:</t>
    </r>
    <r>
      <rPr>
        <sz val="10"/>
        <rFont val="標楷體"/>
        <family val="4"/>
        <charset val="136"/>
      </rPr>
      <t>自</t>
    </r>
    <r>
      <rPr>
        <sz val="10"/>
        <rFont val="Times New Roman"/>
        <family val="1"/>
      </rPr>
      <t>93</t>
    </r>
    <r>
      <rPr>
        <sz val="10"/>
        <rFont val="標楷體"/>
        <family val="4"/>
        <charset val="136"/>
      </rPr>
      <t>年</t>
    </r>
    <r>
      <rPr>
        <sz val="10"/>
        <rFont val="Times New Roman"/>
        <family val="1"/>
      </rPr>
      <t>1</t>
    </r>
    <r>
      <rPr>
        <sz val="10"/>
        <rFont val="標楷體"/>
        <family val="4"/>
        <charset val="136"/>
      </rPr>
      <t>月</t>
    </r>
    <r>
      <rPr>
        <sz val="10"/>
        <rFont val="Times New Roman"/>
        <family val="1"/>
      </rPr>
      <t>1</t>
    </r>
    <r>
      <rPr>
        <sz val="10"/>
        <rFont val="標楷體"/>
        <family val="4"/>
        <charset val="136"/>
      </rPr>
      <t>日起政務人員依法不再參加退撫基金，惟不足數已由相關政府機關編列預算補助。</t>
    </r>
    <phoneticPr fontId="3" type="noConversion"/>
  </si>
  <si>
    <t>check</t>
    <phoneticPr fontId="3" type="noConversion"/>
  </si>
  <si>
    <t>85-97DIFF</t>
    <phoneticPr fontId="3" type="noConversion"/>
  </si>
  <si>
    <t>106年合計</t>
    <phoneticPr fontId="3" type="noConversion"/>
  </si>
  <si>
    <t>107年合計</t>
    <phoneticPr fontId="3" type="noConversion"/>
  </si>
  <si>
    <t>85-97</t>
    <phoneticPr fontId="3" type="noConversion"/>
  </si>
  <si>
    <t>85-98</t>
    <phoneticPr fontId="3" type="noConversion"/>
  </si>
  <si>
    <r>
      <t>C</t>
    </r>
    <r>
      <rPr>
        <sz val="9"/>
        <rFont val="細明體"/>
        <family val="3"/>
        <charset val="136"/>
      </rPr>
      <t>欄與</t>
    </r>
    <r>
      <rPr>
        <sz val="9"/>
        <rFont val="Times New Roman"/>
        <family val="1"/>
      </rPr>
      <t>107check</t>
    </r>
    <phoneticPr fontId="3" type="noConversion"/>
  </si>
  <si>
    <r>
      <t xml:space="preserve"> </t>
    </r>
    <r>
      <rPr>
        <b/>
        <sz val="16"/>
        <rFont val="標楷體"/>
        <family val="4"/>
        <charset val="136"/>
      </rPr>
      <t>表43  最近10年參加退撫基金</t>
    </r>
    <phoneticPr fontId="3" type="noConversion"/>
  </si>
  <si>
    <t>人員退撫支出明細</t>
  </si>
  <si>
    <t xml:space="preserve"> 中華民國99</t>
    <phoneticPr fontId="3" type="noConversion"/>
  </si>
  <si>
    <t>月退休(職)
金(退休俸)</t>
    <phoneticPr fontId="3" type="noConversion"/>
  </si>
  <si>
    <t>再一次
加發補償金</t>
    <phoneticPr fontId="3" type="noConversion"/>
  </si>
  <si>
    <t>因公傷病
退休(職)金
（贍養金）</t>
    <phoneticPr fontId="3" type="noConversion"/>
  </si>
  <si>
    <t>兼領一次退休(職) 金與月
退休(職)金</t>
    <phoneticPr fontId="3" type="noConversion"/>
  </si>
  <si>
    <t>表44  最近10年政務</t>
    <phoneticPr fontId="3" type="noConversion"/>
  </si>
  <si>
    <t>人員退撫支出明細</t>
    <phoneticPr fontId="3" type="noConversion"/>
  </si>
  <si>
    <t xml:space="preserve">中華民國99   </t>
    <phoneticPr fontId="3" type="noConversion"/>
  </si>
  <si>
    <t xml:space="preserve">年至108年            </t>
    <phoneticPr fontId="3" type="noConversion"/>
  </si>
  <si>
    <t xml:space="preserve">單位：新臺幣千元  </t>
    <phoneticPr fontId="3" type="noConversion"/>
  </si>
  <si>
    <t>因公傷病
退職金</t>
    <phoneticPr fontId="3" type="noConversion"/>
  </si>
  <si>
    <t>表45  最近10年公務</t>
    <phoneticPr fontId="3" type="noConversion"/>
  </si>
  <si>
    <t>表46  最近10年教育</t>
    <phoneticPr fontId="3" type="noConversion"/>
  </si>
  <si>
    <t xml:space="preserve">中華民國99  </t>
    <phoneticPr fontId="3" type="noConversion"/>
  </si>
  <si>
    <t>表47  最近10年軍職</t>
    <phoneticPr fontId="3" type="noConversion"/>
  </si>
  <si>
    <t>一次退伍金</t>
    <phoneticPr fontId="3" type="noConversion"/>
  </si>
  <si>
    <t>月退休俸</t>
    <phoneticPr fontId="3" type="noConversion"/>
  </si>
  <si>
    <t>表48  最近10年定期退撫給與之發放人數及金額</t>
    <phoneticPr fontId="3" type="noConversion"/>
  </si>
  <si>
    <t>單位：人；新臺幣元</t>
    <phoneticPr fontId="11" type="noConversion"/>
  </si>
  <si>
    <t>104年</t>
  </si>
  <si>
    <t>107年</t>
  </si>
  <si>
    <r>
      <t>附註：1.本表以參加公務人員退休撫卹基金之政務人員、公務人員、教育人員及軍職人員為統計對象。</t>
    </r>
    <r>
      <rPr>
        <sz val="10"/>
        <rFont val="Times New Roman"/>
        <family val="1"/>
      </rPr>
      <t xml:space="preserve"> </t>
    </r>
    <phoneticPr fontId="11" type="noConversion"/>
  </si>
  <si>
    <t xml:space="preserve">       </t>
    <phoneticPr fontId="11" type="noConversion"/>
  </si>
  <si>
    <t>年(月)撫卹金</t>
    <phoneticPr fontId="3" type="noConversion"/>
  </si>
  <si>
    <t xml:space="preserve">                                             中華民國99年至108年</t>
    <phoneticPr fontId="11" type="noConversion"/>
  </si>
  <si>
    <r>
      <t xml:space="preserve">                                          中華民國108年                         </t>
    </r>
    <r>
      <rPr>
        <sz val="10"/>
        <rFont val="標楷體"/>
        <family val="4"/>
        <charset val="136"/>
      </rPr>
      <t>單位：人；新臺幣元</t>
    </r>
    <phoneticPr fontId="11" type="noConversion"/>
  </si>
  <si>
    <t xml:space="preserve">       中華民國108年1月1日至108年12月31日</t>
    <phoneticPr fontId="3" type="noConversion"/>
  </si>
  <si>
    <t>中心
配置
(%)</t>
    <phoneticPr fontId="3" type="noConversion"/>
  </si>
  <si>
    <t>中心配置
(%)</t>
    <phoneticPr fontId="3" type="noConversion"/>
  </si>
  <si>
    <t>允許變動區間
(%)</t>
    <phoneticPr fontId="3" type="noConversion"/>
  </si>
  <si>
    <t>預定
收益率
(%)</t>
    <phoneticPr fontId="3" type="noConversion"/>
  </si>
  <si>
    <t>加權目標
收益率
(%)
(註一)</t>
    <phoneticPr fontId="3" type="noConversion"/>
  </si>
  <si>
    <t>自行經營</t>
  </si>
  <si>
    <t>~</t>
  </si>
  <si>
    <t>國內</t>
    <phoneticPr fontId="3" type="noConversion"/>
  </si>
  <si>
    <t>國外</t>
    <phoneticPr fontId="3" type="noConversion"/>
  </si>
  <si>
    <r>
      <t xml:space="preserve"> 3.</t>
    </r>
    <r>
      <rPr>
        <sz val="16"/>
        <rFont val="標楷體"/>
        <family val="4"/>
        <charset val="136"/>
      </rPr>
      <t>上市</t>
    </r>
    <r>
      <rPr>
        <sz val="16"/>
        <rFont val="Times New Roman"/>
        <family val="1"/>
      </rPr>
      <t>(</t>
    </r>
    <r>
      <rPr>
        <sz val="16"/>
        <rFont val="標楷體"/>
        <family val="4"/>
        <charset val="136"/>
      </rPr>
      <t>上櫃</t>
    </r>
    <r>
      <rPr>
        <sz val="16"/>
        <rFont val="Times New Roman"/>
        <family val="1"/>
      </rPr>
      <t>)</t>
    </r>
    <r>
      <rPr>
        <sz val="16"/>
        <rFont val="標楷體"/>
        <family val="4"/>
        <charset val="136"/>
      </rPr>
      <t>公司股票及</t>
    </r>
    <r>
      <rPr>
        <sz val="16"/>
        <rFont val="Times New Roman"/>
        <family val="1"/>
      </rPr>
      <t>ETF</t>
    </r>
    <phoneticPr fontId="3" type="noConversion"/>
  </si>
  <si>
    <r>
      <t xml:space="preserve"> 4.</t>
    </r>
    <r>
      <rPr>
        <sz val="16"/>
        <rFont val="標楷體"/>
        <family val="4"/>
        <charset val="136"/>
      </rPr>
      <t>受益憑證及共同信託基金</t>
    </r>
    <phoneticPr fontId="3" type="noConversion"/>
  </si>
  <si>
    <r>
      <t xml:space="preserve"> 6. </t>
    </r>
    <r>
      <rPr>
        <sz val="16"/>
        <rFont val="標楷體"/>
        <family val="4"/>
        <charset val="136"/>
      </rPr>
      <t>短期票券及庫券</t>
    </r>
    <phoneticPr fontId="3" type="noConversion"/>
  </si>
  <si>
    <r>
      <t xml:space="preserve"> 7.</t>
    </r>
    <r>
      <rPr>
        <sz val="16"/>
        <rFont val="標楷體"/>
        <family val="4"/>
        <charset val="136"/>
      </rPr>
      <t>債券</t>
    </r>
    <phoneticPr fontId="3" type="noConversion"/>
  </si>
  <si>
    <r>
      <t xml:space="preserve"> 8. </t>
    </r>
    <r>
      <rPr>
        <sz val="16"/>
        <rFont val="標楷體"/>
        <family val="4"/>
        <charset val="136"/>
      </rPr>
      <t xml:space="preserve">與公務人員福利有關設施
</t>
    </r>
    <r>
      <rPr>
        <sz val="16"/>
        <rFont val="Times New Roman"/>
        <family val="1"/>
      </rPr>
      <t xml:space="preserve">    </t>
    </r>
    <r>
      <rPr>
        <sz val="16"/>
        <rFont val="標楷體"/>
        <family val="4"/>
        <charset val="136"/>
      </rPr>
      <t>之投資及貸款</t>
    </r>
    <phoneticPr fontId="3" type="noConversion"/>
  </si>
  <si>
    <r>
      <t xml:space="preserve"> 9.</t>
    </r>
    <r>
      <rPr>
        <sz val="16"/>
        <rFont val="標楷體"/>
        <family val="4"/>
        <charset val="136"/>
      </rPr>
      <t xml:space="preserve">各級政府或公營事業辦理
</t>
    </r>
    <r>
      <rPr>
        <sz val="16"/>
        <rFont val="Times New Roman"/>
        <family val="1"/>
      </rPr>
      <t xml:space="preserve">    </t>
    </r>
    <r>
      <rPr>
        <sz val="16"/>
        <rFont val="標楷體"/>
        <family val="4"/>
        <charset val="136"/>
      </rPr>
      <t>經濟建設之貸款或投資</t>
    </r>
    <phoneticPr fontId="3" type="noConversion"/>
  </si>
  <si>
    <t>委託經營</t>
  </si>
  <si>
    <r>
      <t>13.</t>
    </r>
    <r>
      <rPr>
        <sz val="16"/>
        <rFont val="標楷體"/>
        <family val="4"/>
        <charset val="136"/>
      </rPr>
      <t>國內委託經營</t>
    </r>
    <phoneticPr fontId="3" type="noConversion"/>
  </si>
  <si>
    <t>資本利得</t>
  </si>
  <si>
    <t>~</t>
    <phoneticPr fontId="3" type="noConversion"/>
  </si>
  <si>
    <t>固定收益</t>
  </si>
  <si>
    <r>
      <t>14.</t>
    </r>
    <r>
      <rPr>
        <sz val="16"/>
        <rFont val="標楷體"/>
        <family val="4"/>
        <charset val="136"/>
      </rPr>
      <t>國外委託經營</t>
    </r>
    <phoneticPr fontId="3" type="noConversion"/>
  </si>
  <si>
    <t>另類投資</t>
    <phoneticPr fontId="3" type="noConversion"/>
  </si>
  <si>
    <t>合計</t>
  </si>
  <si>
    <t>-</t>
  </si>
  <si>
    <r>
      <rPr>
        <sz val="16"/>
        <rFont val="標楷體"/>
        <family val="4"/>
        <charset val="136"/>
      </rPr>
      <t>註：</t>
    </r>
    <r>
      <rPr>
        <sz val="16"/>
        <rFont val="Times New Roman"/>
        <family val="1"/>
      </rPr>
      <t>1.</t>
    </r>
    <r>
      <rPr>
        <sz val="16"/>
        <rFont val="標楷體"/>
        <family val="4"/>
        <charset val="136"/>
      </rPr>
      <t>加權目標收益率＝各運用項目之預定收益率</t>
    </r>
    <r>
      <rPr>
        <sz val="16"/>
        <rFont val="Times New Roman"/>
        <family val="1"/>
      </rPr>
      <t xml:space="preserve"> × </t>
    </r>
    <r>
      <rPr>
        <sz val="16"/>
        <rFont val="標楷體"/>
        <family val="4"/>
        <charset val="136"/>
      </rPr>
      <t>中心配置比例。</t>
    </r>
    <phoneticPr fontId="3" type="noConversion"/>
  </si>
  <si>
    <t>表51  退撫基金運用組合規劃比較表</t>
    <phoneticPr fontId="3" type="noConversion"/>
  </si>
  <si>
    <r>
      <rPr>
        <sz val="12"/>
        <rFont val="標楷體"/>
        <family val="4"/>
        <charset val="136"/>
      </rPr>
      <t>中華民國</t>
    </r>
    <r>
      <rPr>
        <sz val="12"/>
        <rFont val="Times New Roman"/>
        <family val="1"/>
      </rPr>
      <t>108</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3" type="noConversion"/>
  </si>
  <si>
    <t>單位：新臺幣億元；%</t>
    <phoneticPr fontId="3" type="noConversion"/>
  </si>
  <si>
    <t>項
目
區
分</t>
    <phoneticPr fontId="3" type="noConversion"/>
  </si>
  <si>
    <t>運用項目</t>
  </si>
  <si>
    <t>實際運用配置</t>
    <phoneticPr fontId="3" type="noConversion"/>
  </si>
  <si>
    <t>比例(%)</t>
  </si>
  <si>
    <t>金額
(億元)</t>
    <phoneticPr fontId="3" type="noConversion"/>
  </si>
  <si>
    <t>自     行     經     營</t>
    <phoneticPr fontId="3" type="noConversion"/>
  </si>
  <si>
    <t>資 本 利 得</t>
    <phoneticPr fontId="3" type="noConversion"/>
  </si>
  <si>
    <t>國內</t>
  </si>
  <si>
    <t>1.上市(上櫃)公司股票及ETF</t>
    <phoneticPr fontId="3" type="noConversion"/>
  </si>
  <si>
    <t>2.受益憑證及共同信託基金</t>
    <phoneticPr fontId="3" type="noConversion"/>
  </si>
  <si>
    <t>國外</t>
  </si>
  <si>
    <t>3.上市(上櫃)公司股票及ETF</t>
    <phoneticPr fontId="3" type="noConversion"/>
  </si>
  <si>
    <t>4.受益憑證及共同信託基金</t>
    <phoneticPr fontId="3" type="noConversion"/>
  </si>
  <si>
    <t>固  定  收  益</t>
    <phoneticPr fontId="3" type="noConversion"/>
  </si>
  <si>
    <t>5.臺幣銀行存款</t>
    <phoneticPr fontId="3" type="noConversion"/>
  </si>
  <si>
    <t>6.短期票券及庫券</t>
    <phoneticPr fontId="3" type="noConversion"/>
  </si>
  <si>
    <t>7.債券</t>
    <phoneticPr fontId="3" type="noConversion"/>
  </si>
  <si>
    <t>8.與公務人員福利有關設施之
  投資及貸款</t>
    <phoneticPr fontId="3" type="noConversion"/>
  </si>
  <si>
    <t>9.各級政府或公營事業辦理經
  濟建設之貸款或投資</t>
    <phoneticPr fontId="3" type="noConversion"/>
  </si>
  <si>
    <t>10.外幣銀行存款</t>
    <phoneticPr fontId="3" type="noConversion"/>
  </si>
  <si>
    <t>11.短期票券及庫券</t>
    <phoneticPr fontId="3" type="noConversion"/>
  </si>
  <si>
    <t>12.債券</t>
    <phoneticPr fontId="3" type="noConversion"/>
  </si>
  <si>
    <t>委 託 經 營</t>
    <phoneticPr fontId="3" type="noConversion"/>
  </si>
  <si>
    <t>13.國內委託經營</t>
    <phoneticPr fontId="3" type="noConversion"/>
  </si>
  <si>
    <t>14.國外委託經營</t>
    <phoneticPr fontId="3" type="noConversion"/>
  </si>
  <si>
    <t xml:space="preserve"> 表52  最近10年退撫基金</t>
    <phoneticPr fontId="3" type="noConversion"/>
  </si>
  <si>
    <t>運用收益分析表</t>
    <phoneticPr fontId="3" type="noConversion"/>
  </si>
  <si>
    <r>
      <t>單位：新臺幣千元；</t>
    </r>
    <r>
      <rPr>
        <sz val="10"/>
        <rFont val="Times New Roman"/>
        <family val="1"/>
      </rPr>
      <t>%</t>
    </r>
    <phoneticPr fontId="3" type="noConversion"/>
  </si>
  <si>
    <t>已實現收益率較法定率增減數</t>
    <phoneticPr fontId="3" type="noConversion"/>
  </si>
  <si>
    <t>年至106年</t>
    <phoneticPr fontId="3" type="noConversion"/>
  </si>
  <si>
    <r>
      <t xml:space="preserve">累計運用資金
</t>
    </r>
    <r>
      <rPr>
        <sz val="12"/>
        <rFont val="Times New Roman"/>
        <family val="1"/>
      </rPr>
      <t>(A)</t>
    </r>
    <phoneticPr fontId="3" type="noConversion"/>
  </si>
  <si>
    <r>
      <t xml:space="preserve">已實現收益數
</t>
    </r>
    <r>
      <rPr>
        <sz val="12"/>
        <rFont val="Times New Roman"/>
        <family val="1"/>
      </rPr>
      <t>(B)</t>
    </r>
    <phoneticPr fontId="3" type="noConversion"/>
  </si>
  <si>
    <r>
      <t>已實現收益率</t>
    </r>
    <r>
      <rPr>
        <sz val="12"/>
        <rFont val="Times New Roman"/>
        <family val="1"/>
      </rPr>
      <t>%
(C=B/A*12)</t>
    </r>
    <phoneticPr fontId="3" type="noConversion"/>
  </si>
  <si>
    <r>
      <t xml:space="preserve">法定收益數
</t>
    </r>
    <r>
      <rPr>
        <sz val="12"/>
        <rFont val="Times New Roman"/>
        <family val="1"/>
      </rPr>
      <t>(D)</t>
    </r>
    <phoneticPr fontId="3" type="noConversion"/>
  </si>
  <si>
    <r>
      <t>法定收益率</t>
    </r>
    <r>
      <rPr>
        <sz val="12"/>
        <rFont val="Times New Roman"/>
        <family val="1"/>
      </rPr>
      <t>%
(E)</t>
    </r>
    <phoneticPr fontId="3" type="noConversion"/>
  </si>
  <si>
    <r>
      <t>已實現收益數</t>
    </r>
    <r>
      <rPr>
        <sz val="12"/>
        <rFont val="Times New Roman"/>
        <family val="1"/>
      </rPr>
      <t xml:space="preserve">            
</t>
    </r>
    <r>
      <rPr>
        <sz val="12"/>
        <rFont val="標楷體"/>
        <family val="4"/>
        <charset val="136"/>
      </rPr>
      <t xml:space="preserve">減法定收益數
</t>
    </r>
    <r>
      <rPr>
        <sz val="12"/>
        <rFont val="Times New Roman"/>
        <family val="1"/>
      </rPr>
      <t>(B-D)</t>
    </r>
    <phoneticPr fontId="3" type="noConversion"/>
  </si>
  <si>
    <r>
      <t>已實現收益率</t>
    </r>
    <r>
      <rPr>
        <sz val="12"/>
        <rFont val="Times New Roman"/>
        <family val="1"/>
      </rPr>
      <t xml:space="preserve">       
</t>
    </r>
    <r>
      <rPr>
        <sz val="12"/>
        <rFont val="標楷體"/>
        <family val="4"/>
        <charset val="136"/>
      </rPr>
      <t>減法定收益率</t>
    </r>
    <r>
      <rPr>
        <sz val="12"/>
        <rFont val="Times New Roman"/>
        <family val="1"/>
      </rPr>
      <t>%
 (C-E)</t>
    </r>
    <phoneticPr fontId="3" type="noConversion"/>
  </si>
  <si>
    <r>
      <t>列計未實現損益</t>
    </r>
    <r>
      <rPr>
        <sz val="12"/>
        <rFont val="Times New Roman"/>
        <family val="1"/>
      </rPr>
      <t xml:space="preserve">      
</t>
    </r>
    <r>
      <rPr>
        <sz val="12"/>
        <rFont val="標楷體"/>
        <family val="4"/>
        <charset val="136"/>
      </rPr>
      <t>後之收益數</t>
    </r>
    <phoneticPr fontId="3" type="noConversion"/>
  </si>
  <si>
    <r>
      <t>列計未實現損益</t>
    </r>
    <r>
      <rPr>
        <sz val="12"/>
        <rFont val="Times New Roman"/>
        <family val="1"/>
      </rPr>
      <t xml:space="preserve">     
</t>
    </r>
    <r>
      <rPr>
        <sz val="12"/>
        <rFont val="標楷體"/>
        <family val="4"/>
        <charset val="136"/>
      </rPr>
      <t>後之收益率</t>
    </r>
    <r>
      <rPr>
        <sz val="12"/>
        <rFont val="Times New Roman"/>
        <family val="1"/>
      </rPr>
      <t>%</t>
    </r>
    <phoneticPr fontId="3" type="noConversion"/>
  </si>
  <si>
    <t>列計備供出售
金融資產投資
評價損益後之
收益數</t>
    <phoneticPr fontId="3" type="noConversion"/>
  </si>
  <si>
    <r>
      <t>列計備供出售
金融資產投資
評價損益後之
收益率</t>
    </r>
    <r>
      <rPr>
        <sz val="12"/>
        <rFont val="Times New Roman"/>
        <family val="1"/>
      </rPr>
      <t>%</t>
    </r>
    <phoneticPr fontId="3" type="noConversion"/>
  </si>
  <si>
    <t xml:space="preserve">附註：法定收益率係依臺灣銀行二年期定期存款利率計算之收益率。          </t>
    <phoneticPr fontId="3" type="noConversion"/>
  </si>
  <si>
    <t>check
B欄中心
配置</t>
    <phoneticPr fontId="3" type="noConversion"/>
  </si>
  <si>
    <t>check
N欄允許變動區間</t>
    <phoneticPr fontId="3" type="noConversion"/>
  </si>
  <si>
    <t>check
T欄預定
收益率to決算</t>
    <phoneticPr fontId="3" type="noConversion"/>
  </si>
  <si>
    <t>check
J欄實際運用配置率to決算</t>
    <phoneticPr fontId="3" type="noConversion"/>
  </si>
  <si>
    <t>check
K欄實際運用配置金to決算</t>
    <phoneticPr fontId="3" type="noConversion"/>
  </si>
  <si>
    <t>表53  最近10年退撫</t>
    <phoneticPr fontId="3" type="noConversion"/>
  </si>
  <si>
    <t>基金平衡表</t>
    <phoneticPr fontId="3" type="noConversion"/>
  </si>
  <si>
    <t xml:space="preserve">中華民國99年  </t>
    <phoneticPr fontId="3" type="noConversion"/>
  </si>
  <si>
    <r>
      <t>單位</t>
    </r>
    <r>
      <rPr>
        <sz val="10"/>
        <rFont val="新細明體"/>
        <family val="1"/>
        <charset val="136"/>
      </rPr>
      <t>：</t>
    </r>
    <r>
      <rPr>
        <sz val="10"/>
        <rFont val="標楷體"/>
        <family val="4"/>
        <charset val="136"/>
      </rPr>
      <t xml:space="preserve">新臺幣千元  </t>
    </r>
    <phoneticPr fontId="3" type="noConversion"/>
  </si>
  <si>
    <t>基金淨值</t>
    <phoneticPr fontId="3" type="noConversion"/>
  </si>
  <si>
    <r>
      <t>資</t>
    </r>
    <r>
      <rPr>
        <sz val="12"/>
        <rFont val="標楷體"/>
        <family val="4"/>
        <charset val="136"/>
      </rPr>
      <t>產</t>
    </r>
    <phoneticPr fontId="3" type="noConversion"/>
  </si>
  <si>
    <r>
      <t>負</t>
    </r>
    <r>
      <rPr>
        <sz val="12"/>
        <rFont val="標楷體"/>
        <family val="4"/>
        <charset val="136"/>
      </rPr>
      <t>債</t>
    </r>
    <phoneticPr fontId="3" type="noConversion"/>
  </si>
  <si>
    <t>流動資產</t>
    <phoneticPr fontId="3" type="noConversion"/>
  </si>
  <si>
    <t>長期性投資
及應收款</t>
    <phoneticPr fontId="3" type="noConversion"/>
  </si>
  <si>
    <t>其他資產</t>
    <phoneticPr fontId="3" type="noConversion"/>
  </si>
  <si>
    <t>流動負債</t>
    <phoneticPr fontId="3" type="noConversion"/>
  </si>
  <si>
    <t>其他負債</t>
    <phoneticPr fontId="3" type="noConversion"/>
  </si>
  <si>
    <t>現金</t>
    <phoneticPr fontId="3" type="noConversion"/>
  </si>
  <si>
    <t>持有供交易
之金融資產</t>
    <phoneticPr fontId="3" type="noConversion"/>
  </si>
  <si>
    <t>附賣回票券
及債券投資</t>
    <phoneticPr fontId="3" type="noConversion"/>
  </si>
  <si>
    <t>持有至到期日
金融資產</t>
    <phoneticPr fontId="3" type="noConversion"/>
  </si>
  <si>
    <t>其他
金融資產</t>
    <phoneticPr fontId="3" type="noConversion"/>
  </si>
  <si>
    <t>應收款項</t>
    <phoneticPr fontId="3" type="noConversion"/>
  </si>
  <si>
    <t>預付款項</t>
    <phoneticPr fontId="3" type="noConversion"/>
  </si>
  <si>
    <r>
      <rPr>
        <sz val="10"/>
        <rFont val="標楷體"/>
        <family val="4"/>
        <charset val="136"/>
      </rPr>
      <t>附註：</t>
    </r>
    <r>
      <rPr>
        <sz val="10"/>
        <rFont val="Times New Roman"/>
        <family val="1"/>
      </rPr>
      <t>1.95</t>
    </r>
    <r>
      <rPr>
        <sz val="10"/>
        <rFont val="標楷體"/>
        <family val="4"/>
        <charset val="136"/>
      </rPr>
      <t>年度起開始適用財務會計凖則第</t>
    </r>
    <r>
      <rPr>
        <sz val="10"/>
        <rFont val="Times New Roman"/>
        <family val="1"/>
      </rPr>
      <t>34</t>
    </r>
    <r>
      <rPr>
        <sz val="10"/>
        <rFont val="標楷體"/>
        <family val="4"/>
        <charset val="136"/>
      </rPr>
      <t>號公報。</t>
    </r>
    <r>
      <rPr>
        <sz val="10"/>
        <rFont val="Times New Roman"/>
        <family val="1"/>
      </rPr>
      <t xml:space="preserve">          </t>
    </r>
    <phoneticPr fontId="3" type="noConversion"/>
  </si>
  <si>
    <r>
      <t xml:space="preserve">               A.</t>
    </r>
    <r>
      <rPr>
        <sz val="10"/>
        <rFont val="標楷體"/>
        <family val="4"/>
        <charset val="136"/>
      </rPr>
      <t>現金僅包括</t>
    </r>
    <r>
      <rPr>
        <sz val="10"/>
        <rFont val="Times New Roman"/>
        <family val="1"/>
      </rPr>
      <t>1</t>
    </r>
    <r>
      <rPr>
        <sz val="10"/>
        <rFont val="標楷體"/>
        <family val="4"/>
        <charset val="136"/>
      </rPr>
      <t>年內到期之定期存款，</t>
    </r>
    <r>
      <rPr>
        <sz val="10"/>
        <rFont val="Times New Roman"/>
        <family val="1"/>
      </rPr>
      <t>1</t>
    </r>
    <r>
      <rPr>
        <sz val="10"/>
        <rFont val="標楷體"/>
        <family val="4"/>
        <charset val="136"/>
      </rPr>
      <t>年以上到期之定期存款改分類至其他金融資產</t>
    </r>
    <r>
      <rPr>
        <sz val="10"/>
        <rFont val="Times New Roman"/>
        <family val="1"/>
      </rPr>
      <t>-</t>
    </r>
    <r>
      <rPr>
        <sz val="10"/>
        <rFont val="標楷體"/>
        <family val="4"/>
        <charset val="136"/>
      </rPr>
      <t>非流動。</t>
    </r>
    <r>
      <rPr>
        <sz val="10"/>
        <rFont val="Times New Roman"/>
        <family val="1"/>
      </rPr>
      <t xml:space="preserve">                </t>
    </r>
    <phoneticPr fontId="3" type="noConversion"/>
  </si>
  <si>
    <r>
      <t xml:space="preserve">               B.</t>
    </r>
    <r>
      <rPr>
        <sz val="10"/>
        <rFont val="標楷體"/>
        <family val="4"/>
        <charset val="136"/>
      </rPr>
      <t xml:space="preserve">原「交易目的之金融資產」改稱「持有供交易之金融資產」，包括商業本票、承兌匯票、國庫券、受益憑證、股票
</t>
    </r>
    <r>
      <rPr>
        <sz val="10"/>
        <rFont val="Times New Roman"/>
        <family val="1"/>
      </rPr>
      <t xml:space="preserve">                   </t>
    </r>
    <r>
      <rPr>
        <sz val="10"/>
        <rFont val="標楷體"/>
        <family val="4"/>
        <charset val="136"/>
      </rPr>
      <t>及債券等。</t>
    </r>
    <r>
      <rPr>
        <sz val="10"/>
        <rFont val="Times New Roman"/>
        <family val="1"/>
      </rPr>
      <t xml:space="preserve">          </t>
    </r>
    <phoneticPr fontId="3" type="noConversion"/>
  </si>
  <si>
    <r>
      <t xml:space="preserve">               C.</t>
    </r>
    <r>
      <rPr>
        <sz val="10"/>
        <rFont val="標楷體"/>
        <family val="4"/>
        <charset val="136"/>
      </rPr>
      <t>增列「附賣回票券及債券投資」項目，包括商業本票及債券等。</t>
    </r>
    <r>
      <rPr>
        <sz val="10"/>
        <rFont val="Times New Roman"/>
        <family val="1"/>
      </rPr>
      <t xml:space="preserve">                </t>
    </r>
    <phoneticPr fontId="3" type="noConversion"/>
  </si>
  <si>
    <r>
      <t xml:space="preserve">               D.</t>
    </r>
    <r>
      <rPr>
        <sz val="10"/>
        <rFont val="標楷體"/>
        <family val="4"/>
        <charset val="136"/>
      </rPr>
      <t>「其他金融資產」係</t>
    </r>
    <r>
      <rPr>
        <sz val="10"/>
        <rFont val="Times New Roman"/>
        <family val="1"/>
      </rPr>
      <t>3</t>
    </r>
    <r>
      <rPr>
        <sz val="10"/>
        <rFont val="標楷體"/>
        <family val="4"/>
        <charset val="136"/>
      </rPr>
      <t>個月至</t>
    </r>
    <r>
      <rPr>
        <sz val="10"/>
        <rFont val="Times New Roman"/>
        <family val="1"/>
      </rPr>
      <t>1</t>
    </r>
    <r>
      <rPr>
        <sz val="10"/>
        <rFont val="標楷體"/>
        <family val="4"/>
        <charset val="136"/>
      </rPr>
      <t>年內之定期存款。</t>
    </r>
    <r>
      <rPr>
        <sz val="10"/>
        <rFont val="Times New Roman"/>
        <family val="1"/>
      </rPr>
      <t xml:space="preserve">                </t>
    </r>
    <phoneticPr fontId="3" type="noConversion"/>
  </si>
  <si>
    <r>
      <t xml:space="preserve">               E.</t>
    </r>
    <r>
      <rPr>
        <sz val="10"/>
        <rFont val="標楷體"/>
        <family val="4"/>
        <charset val="136"/>
      </rPr>
      <t>長期性投資及應收款包括持有供交易之金融資產</t>
    </r>
    <r>
      <rPr>
        <sz val="10"/>
        <rFont val="Times New Roman"/>
        <family val="1"/>
      </rPr>
      <t>-</t>
    </r>
    <r>
      <rPr>
        <sz val="10"/>
        <rFont val="標楷體"/>
        <family val="4"/>
        <charset val="136"/>
      </rPr>
      <t>非流動、備供出售金融資產</t>
    </r>
    <r>
      <rPr>
        <sz val="10"/>
        <rFont val="Times New Roman"/>
        <family val="1"/>
      </rPr>
      <t>-</t>
    </r>
    <r>
      <rPr>
        <sz val="10"/>
        <rFont val="標楷體"/>
        <family val="4"/>
        <charset val="136"/>
      </rPr>
      <t>非流動、持有至到期日金融資產</t>
    </r>
    <r>
      <rPr>
        <sz val="10"/>
        <rFont val="Times New Roman"/>
        <family val="1"/>
      </rPr>
      <t>-</t>
    </r>
    <r>
      <rPr>
        <sz val="10"/>
        <rFont val="標楷體"/>
        <family val="4"/>
        <charset val="136"/>
      </rPr>
      <t xml:space="preserve">非流
</t>
    </r>
    <r>
      <rPr>
        <sz val="10"/>
        <rFont val="Times New Roman"/>
        <family val="1"/>
      </rPr>
      <t xml:space="preserve">                   </t>
    </r>
    <r>
      <rPr>
        <sz val="10"/>
        <rFont val="標楷體"/>
        <family val="4"/>
        <charset val="136"/>
      </rPr>
      <t>動、無活絡市場之債務投資</t>
    </r>
    <r>
      <rPr>
        <sz val="10"/>
        <rFont val="Times New Roman"/>
        <family val="1"/>
      </rPr>
      <t>-</t>
    </r>
    <r>
      <rPr>
        <sz val="10"/>
        <rFont val="標楷體"/>
        <family val="4"/>
        <charset val="136"/>
      </rPr>
      <t>非流動及其他金融資產</t>
    </r>
    <r>
      <rPr>
        <sz val="10"/>
        <rFont val="Times New Roman"/>
        <family val="1"/>
      </rPr>
      <t>-</t>
    </r>
    <r>
      <rPr>
        <sz val="10"/>
        <rFont val="標楷體"/>
        <family val="4"/>
        <charset val="136"/>
      </rPr>
      <t>非流動等。</t>
    </r>
    <r>
      <rPr>
        <sz val="10"/>
        <rFont val="Times New Roman"/>
        <family val="1"/>
      </rPr>
      <t xml:space="preserve">            </t>
    </r>
    <phoneticPr fontId="3" type="noConversion"/>
  </si>
  <si>
    <r>
      <t xml:space="preserve">           3.</t>
    </r>
    <r>
      <rPr>
        <sz val="10"/>
        <rFont val="標楷體"/>
        <family val="4"/>
        <charset val="136"/>
      </rPr>
      <t>流動負債包括流動金融負債、應付款項及預收款項等。</t>
    </r>
    <r>
      <rPr>
        <sz val="10"/>
        <rFont val="Times New Roman"/>
        <family val="1"/>
      </rPr>
      <t xml:space="preserve">                </t>
    </r>
    <phoneticPr fontId="3" type="noConversion"/>
  </si>
  <si>
    <t>表54  最近10年退撫</t>
    <phoneticPr fontId="3" type="noConversion"/>
  </si>
  <si>
    <t>基金資產明細表</t>
    <phoneticPr fontId="3" type="noConversion"/>
  </si>
  <si>
    <r>
      <t>資</t>
    </r>
    <r>
      <rPr>
        <sz val="12"/>
        <rFont val="標楷體"/>
        <family val="4"/>
        <charset val="136"/>
      </rPr>
      <t>產</t>
    </r>
    <r>
      <rPr>
        <sz val="12"/>
        <rFont val="標楷體"/>
        <family val="4"/>
        <charset val="136"/>
      </rPr>
      <t>總</t>
    </r>
    <r>
      <rPr>
        <sz val="12"/>
        <rFont val="標楷體"/>
        <family val="4"/>
        <charset val="136"/>
      </rPr>
      <t>計</t>
    </r>
    <phoneticPr fontId="3" type="noConversion"/>
  </si>
  <si>
    <t>銀行存款</t>
    <phoneticPr fontId="3" type="noConversion"/>
  </si>
  <si>
    <t>票券</t>
    <phoneticPr fontId="3" type="noConversion"/>
  </si>
  <si>
    <t>債券</t>
    <phoneticPr fontId="3" type="noConversion"/>
  </si>
  <si>
    <t>有價證券</t>
    <phoneticPr fontId="3" type="noConversion"/>
  </si>
  <si>
    <t>委託經營</t>
    <phoneticPr fontId="3" type="noConversion"/>
  </si>
  <si>
    <t>股票</t>
    <phoneticPr fontId="3" type="noConversion"/>
  </si>
  <si>
    <t>受益憑證</t>
    <phoneticPr fontId="3" type="noConversion"/>
  </si>
  <si>
    <t>總額增減</t>
    <phoneticPr fontId="3" type="noConversion"/>
  </si>
  <si>
    <r>
      <rPr>
        <sz val="10"/>
        <rFont val="標楷體"/>
        <family val="4"/>
        <charset val="136"/>
      </rPr>
      <t>附註：</t>
    </r>
    <r>
      <rPr>
        <sz val="10"/>
        <rFont val="Times New Roman"/>
        <family val="1"/>
      </rPr>
      <t>1. 95</t>
    </r>
    <r>
      <rPr>
        <sz val="10"/>
        <rFont val="標楷體"/>
        <family val="4"/>
        <charset val="136"/>
      </rPr>
      <t>年度起開始適用財務會計凖則第</t>
    </r>
    <r>
      <rPr>
        <sz val="10"/>
        <rFont val="Times New Roman"/>
        <family val="1"/>
      </rPr>
      <t>34</t>
    </r>
    <r>
      <rPr>
        <sz val="10"/>
        <rFont val="標楷體"/>
        <family val="4"/>
        <charset val="136"/>
      </rPr>
      <t>號公報。</t>
    </r>
    <phoneticPr fontId="3" type="noConversion"/>
  </si>
  <si>
    <t>表55  最近10年退撫基金</t>
    <phoneticPr fontId="3" type="noConversion"/>
  </si>
  <si>
    <t>收支(含運用部分)</t>
    <phoneticPr fontId="3" type="noConversion"/>
  </si>
  <si>
    <t>當          期          數</t>
    <phoneticPr fontId="3" type="noConversion"/>
  </si>
  <si>
    <t>累          計          數</t>
    <phoneticPr fontId="3" type="noConversion"/>
  </si>
  <si>
    <t>賸餘</t>
  </si>
  <si>
    <t>國庫</t>
    <phoneticPr fontId="3" type="noConversion"/>
  </si>
  <si>
    <r>
      <t>收</t>
    </r>
    <r>
      <rPr>
        <sz val="12"/>
        <rFont val="Times New Roman"/>
        <family val="1"/>
      </rPr>
      <t xml:space="preserve">          </t>
    </r>
    <r>
      <rPr>
        <sz val="12"/>
        <rFont val="標楷體"/>
        <family val="4"/>
        <charset val="136"/>
      </rPr>
      <t>入</t>
    </r>
    <phoneticPr fontId="3" type="noConversion"/>
  </si>
  <si>
    <r>
      <t>支</t>
    </r>
    <r>
      <rPr>
        <sz val="12"/>
        <rFont val="Times New Roman"/>
        <family val="1"/>
      </rPr>
      <t xml:space="preserve">          </t>
    </r>
    <r>
      <rPr>
        <sz val="12"/>
        <rFont val="標楷體"/>
        <family val="4"/>
        <charset val="136"/>
      </rPr>
      <t>出</t>
    </r>
    <phoneticPr fontId="3" type="noConversion"/>
  </si>
  <si>
    <t>(短絀)</t>
  </si>
  <si>
    <t>撥補數</t>
  </si>
  <si>
    <t>基金收繳</t>
    <phoneticPr fontId="3" type="noConversion"/>
  </si>
  <si>
    <t>財務及
其他收入</t>
    <phoneticPr fontId="3" type="noConversion"/>
  </si>
  <si>
    <t>基金給付</t>
    <phoneticPr fontId="3" type="noConversion"/>
  </si>
  <si>
    <t>財務及
其他支出</t>
    <phoneticPr fontId="3" type="noConversion"/>
  </si>
  <si>
    <t>撥補數</t>
    <phoneticPr fontId="3" type="noConversion"/>
  </si>
  <si>
    <t>基金給付占基金收繳之百分比</t>
  </si>
  <si>
    <r>
      <t>85</t>
    </r>
    <r>
      <rPr>
        <sz val="12"/>
        <rFont val="標楷體"/>
        <family val="4"/>
        <charset val="136"/>
      </rPr>
      <t>至</t>
    </r>
    <r>
      <rPr>
        <sz val="12"/>
        <rFont val="Times New Roman"/>
        <family val="1"/>
      </rPr>
      <t>98</t>
    </r>
    <r>
      <rPr>
        <sz val="12"/>
        <rFont val="標楷體"/>
        <family val="4"/>
        <charset val="136"/>
      </rPr>
      <t>年</t>
    </r>
    <phoneticPr fontId="3" type="noConversion"/>
  </si>
  <si>
    <r>
      <t>99</t>
    </r>
    <r>
      <rPr>
        <sz val="12"/>
        <rFont val="標楷體"/>
        <family val="4"/>
        <charset val="136"/>
      </rPr>
      <t>年</t>
    </r>
  </si>
  <si>
    <r>
      <t>100</t>
    </r>
    <r>
      <rPr>
        <sz val="12"/>
        <rFont val="標楷體"/>
        <family val="4"/>
        <charset val="136"/>
      </rPr>
      <t>年</t>
    </r>
  </si>
  <si>
    <r>
      <t>101</t>
    </r>
    <r>
      <rPr>
        <sz val="12"/>
        <rFont val="標楷體"/>
        <family val="4"/>
        <charset val="136"/>
      </rPr>
      <t>年</t>
    </r>
  </si>
  <si>
    <r>
      <t>102</t>
    </r>
    <r>
      <rPr>
        <sz val="12"/>
        <rFont val="標楷體"/>
        <family val="4"/>
        <charset val="136"/>
      </rPr>
      <t>年</t>
    </r>
  </si>
  <si>
    <r>
      <t>103</t>
    </r>
    <r>
      <rPr>
        <sz val="12"/>
        <rFont val="標楷體"/>
        <family val="4"/>
        <charset val="136"/>
      </rPr>
      <t>年</t>
    </r>
    <phoneticPr fontId="3" type="noConversion"/>
  </si>
  <si>
    <r>
      <t>104</t>
    </r>
    <r>
      <rPr>
        <sz val="12"/>
        <rFont val="標楷體"/>
        <family val="4"/>
        <charset val="136"/>
      </rPr>
      <t>年</t>
    </r>
    <phoneticPr fontId="3" type="noConversion"/>
  </si>
  <si>
    <r>
      <t>105</t>
    </r>
    <r>
      <rPr>
        <sz val="12"/>
        <rFont val="標楷體"/>
        <family val="4"/>
        <charset val="136"/>
      </rPr>
      <t>年</t>
    </r>
  </si>
  <si>
    <r>
      <t>106</t>
    </r>
    <r>
      <rPr>
        <sz val="12"/>
        <rFont val="標楷體"/>
        <family val="4"/>
        <charset val="136"/>
      </rPr>
      <t>年</t>
    </r>
    <phoneticPr fontId="3" type="noConversion"/>
  </si>
  <si>
    <r>
      <t>107</t>
    </r>
    <r>
      <rPr>
        <sz val="12"/>
        <rFont val="標楷體"/>
        <family val="4"/>
        <charset val="136"/>
      </rPr>
      <t>年</t>
    </r>
    <phoneticPr fontId="3" type="noConversion"/>
  </si>
  <si>
    <r>
      <t>108</t>
    </r>
    <r>
      <rPr>
        <sz val="12"/>
        <rFont val="標楷體"/>
        <family val="4"/>
        <charset val="136"/>
      </rPr>
      <t>年</t>
    </r>
    <phoneticPr fontId="3" type="noConversion"/>
  </si>
  <si>
    <r>
      <rPr>
        <sz val="11"/>
        <rFont val="標楷體"/>
        <family val="4"/>
        <charset val="136"/>
      </rPr>
      <t>附註：</t>
    </r>
    <r>
      <rPr>
        <sz val="11"/>
        <rFont val="Times New Roman"/>
        <family val="1"/>
      </rPr>
      <t>1.</t>
    </r>
    <r>
      <rPr>
        <sz val="11"/>
        <rFont val="標楷體"/>
        <family val="4"/>
        <charset val="136"/>
      </rPr>
      <t>財務收入包括銀行存款、票券、債券等利息收入及股票等投資項目之投資利益、評價利益等。</t>
    </r>
    <r>
      <rPr>
        <sz val="11"/>
        <rFont val="Times New Roman"/>
        <family val="1"/>
      </rPr>
      <t xml:space="preserve">           </t>
    </r>
    <phoneticPr fontId="3" type="noConversion"/>
  </si>
  <si>
    <r>
      <t xml:space="preserve">            2.</t>
    </r>
    <r>
      <rPr>
        <sz val="11"/>
        <rFont val="標楷體"/>
        <family val="4"/>
        <charset val="136"/>
      </rPr>
      <t>賸餘</t>
    </r>
    <r>
      <rPr>
        <sz val="11"/>
        <rFont val="Times New Roman"/>
        <family val="1"/>
      </rPr>
      <t>(</t>
    </r>
    <r>
      <rPr>
        <sz val="11"/>
        <rFont val="標楷體"/>
        <family val="4"/>
        <charset val="136"/>
      </rPr>
      <t>短絀</t>
    </r>
    <r>
      <rPr>
        <sz val="11"/>
        <rFont val="Times New Roman"/>
        <family val="1"/>
      </rPr>
      <t>)</t>
    </r>
    <r>
      <rPr>
        <sz val="11"/>
        <rFont val="標楷體"/>
        <family val="4"/>
        <charset val="136"/>
      </rPr>
      <t>係含基金本金賸餘。</t>
    </r>
    <phoneticPr fontId="3" type="noConversion"/>
  </si>
  <si>
    <r>
      <t xml:space="preserve">            3.</t>
    </r>
    <r>
      <rPr>
        <sz val="11"/>
        <rFont val="標楷體"/>
        <family val="4"/>
        <charset val="136"/>
      </rPr>
      <t>自</t>
    </r>
    <r>
      <rPr>
        <sz val="11"/>
        <rFont val="Times New Roman"/>
        <family val="1"/>
      </rPr>
      <t>95</t>
    </r>
    <r>
      <rPr>
        <sz val="11"/>
        <rFont val="標楷體"/>
        <family val="4"/>
        <charset val="136"/>
      </rPr>
      <t>年度起，財務收入及財務支出中之投資損益、評價損益及匯兌損益等相對科目改採淨額表達。</t>
    </r>
    <phoneticPr fontId="3" type="noConversion"/>
  </si>
  <si>
    <r>
      <t xml:space="preserve">            5.</t>
    </r>
    <r>
      <rPr>
        <sz val="11"/>
        <rFont val="標楷體"/>
        <family val="4"/>
        <charset val="136"/>
      </rPr>
      <t>本表不含首次採用</t>
    </r>
    <r>
      <rPr>
        <sz val="11"/>
        <rFont val="Times New Roman"/>
        <family val="1"/>
      </rPr>
      <t>IFRS</t>
    </r>
    <r>
      <rPr>
        <sz val="11"/>
        <rFont val="標楷體"/>
        <family val="4"/>
        <charset val="136"/>
      </rPr>
      <t>調整數</t>
    </r>
    <r>
      <rPr>
        <sz val="11"/>
        <rFont val="Times New Roman"/>
        <family val="1"/>
      </rPr>
      <t>192,508</t>
    </r>
    <r>
      <rPr>
        <sz val="11"/>
        <rFont val="標楷體"/>
        <family val="4"/>
        <charset val="136"/>
      </rPr>
      <t>千元。</t>
    </r>
    <phoneticPr fontId="3" type="noConversion"/>
  </si>
  <si>
    <t>表56  最近10年退撫</t>
    <phoneticPr fontId="3" type="noConversion"/>
  </si>
  <si>
    <t>基金預決算</t>
    <phoneticPr fontId="3" type="noConversion"/>
  </si>
  <si>
    <t>基金收繳
（A）</t>
    <phoneticPr fontId="3" type="noConversion"/>
  </si>
  <si>
    <t>基金給付
（B）</t>
    <phoneticPr fontId="3" type="noConversion"/>
  </si>
  <si>
    <t>基金本金賸餘
（C=A-B）</t>
    <phoneticPr fontId="3" type="noConversion"/>
  </si>
  <si>
    <t xml:space="preserve">財務及
</t>
    <phoneticPr fontId="3" type="noConversion"/>
  </si>
  <si>
    <t>其他收入
（D）</t>
    <phoneticPr fontId="3" type="noConversion"/>
  </si>
  <si>
    <t>財務及其他支出
（E）</t>
    <phoneticPr fontId="3" type="noConversion"/>
  </si>
  <si>
    <t>基金運用賸餘
（F=D-E）</t>
    <phoneticPr fontId="3" type="noConversion"/>
  </si>
  <si>
    <t>本年度賸餘
（G=C+F）</t>
    <phoneticPr fontId="3" type="noConversion"/>
  </si>
  <si>
    <t>行政補助款</t>
    <phoneticPr fontId="3" type="noConversion"/>
  </si>
  <si>
    <t>預算數</t>
  </si>
  <si>
    <t>決算數</t>
  </si>
  <si>
    <r>
      <t>97</t>
    </r>
    <r>
      <rPr>
        <sz val="11"/>
        <rFont val="標楷體"/>
        <family val="4"/>
        <charset val="136"/>
      </rPr>
      <t>年</t>
    </r>
  </si>
  <si>
    <r>
      <t>98</t>
    </r>
    <r>
      <rPr>
        <sz val="11"/>
        <rFont val="標楷體"/>
        <family val="4"/>
        <charset val="136"/>
      </rPr>
      <t>年</t>
    </r>
    <phoneticPr fontId="3" type="noConversion"/>
  </si>
  <si>
    <r>
      <t>99</t>
    </r>
    <r>
      <rPr>
        <sz val="11"/>
        <rFont val="標楷體"/>
        <family val="4"/>
        <charset val="136"/>
      </rPr>
      <t>年</t>
    </r>
  </si>
  <si>
    <r>
      <t>100</t>
    </r>
    <r>
      <rPr>
        <sz val="11"/>
        <rFont val="標楷體"/>
        <family val="4"/>
        <charset val="136"/>
      </rPr>
      <t>年</t>
    </r>
  </si>
  <si>
    <r>
      <t>101</t>
    </r>
    <r>
      <rPr>
        <sz val="11"/>
        <rFont val="標楷體"/>
        <family val="4"/>
        <charset val="136"/>
      </rPr>
      <t>年</t>
    </r>
  </si>
  <si>
    <r>
      <t>102</t>
    </r>
    <r>
      <rPr>
        <sz val="11"/>
        <rFont val="標楷體"/>
        <family val="4"/>
        <charset val="136"/>
      </rPr>
      <t>年</t>
    </r>
  </si>
  <si>
    <r>
      <t>103</t>
    </r>
    <r>
      <rPr>
        <sz val="11"/>
        <rFont val="標楷體"/>
        <family val="4"/>
        <charset val="136"/>
      </rPr>
      <t>年</t>
    </r>
    <phoneticPr fontId="3" type="noConversion"/>
  </si>
  <si>
    <r>
      <t>108</t>
    </r>
    <r>
      <rPr>
        <sz val="11"/>
        <rFont val="細明體"/>
        <family val="3"/>
        <charset val="136"/>
      </rPr>
      <t>年</t>
    </r>
    <phoneticPr fontId="3" type="noConversion"/>
  </si>
  <si>
    <r>
      <rPr>
        <sz val="10"/>
        <rFont val="標楷體"/>
        <family val="4"/>
        <charset val="136"/>
      </rPr>
      <t>附註：</t>
    </r>
    <r>
      <rPr>
        <sz val="10"/>
        <rFont val="Times New Roman"/>
        <family val="1"/>
      </rPr>
      <t xml:space="preserve"> 1.</t>
    </r>
    <r>
      <rPr>
        <sz val="10"/>
        <rFont val="標楷體"/>
        <family val="4"/>
        <charset val="136"/>
      </rPr>
      <t>自</t>
    </r>
    <r>
      <rPr>
        <sz val="10"/>
        <rFont val="Times New Roman"/>
        <family val="1"/>
      </rPr>
      <t>92</t>
    </r>
    <r>
      <rPr>
        <sz val="10"/>
        <rFont val="標楷體"/>
        <family val="4"/>
        <charset val="136"/>
      </rPr>
      <t>年度起，依據退撫基金會計制度，將作業收入改為基金收繳，作業支出改為基金給付，作業賸餘改為</t>
    </r>
    <phoneticPr fontId="3" type="noConversion"/>
  </si>
  <si>
    <t>基金本金賸餘。</t>
  </si>
  <si>
    <r>
      <t xml:space="preserve">             2.</t>
    </r>
    <r>
      <rPr>
        <sz val="10"/>
        <rFont val="標楷體"/>
        <family val="4"/>
        <charset val="136"/>
      </rPr>
      <t>自</t>
    </r>
    <r>
      <rPr>
        <sz val="10"/>
        <rFont val="Times New Roman"/>
        <family val="1"/>
      </rPr>
      <t>95</t>
    </r>
    <r>
      <rPr>
        <sz val="10"/>
        <rFont val="標楷體"/>
        <family val="4"/>
        <charset val="136"/>
      </rPr>
      <t>年度起，財務收入及財務支出中之投資損益、評價損益及匯兌損益等相對科目改採淨額表達。</t>
    </r>
    <phoneticPr fontId="3" type="noConversion"/>
  </si>
  <si>
    <r>
      <t xml:space="preserve">             3.</t>
    </r>
    <r>
      <rPr>
        <sz val="10"/>
        <rFont val="標楷體"/>
        <family val="4"/>
        <charset val="136"/>
      </rPr>
      <t>本年度賸餘＝基金本金賸餘＋基金運用賸餘。</t>
    </r>
    <phoneticPr fontId="3" type="noConversion"/>
  </si>
  <si>
    <t>表57 最近10年退撫</t>
    <phoneticPr fontId="3" type="noConversion"/>
  </si>
  <si>
    <t>基金委託人權益明細表</t>
    <phoneticPr fontId="3" type="noConversion"/>
  </si>
  <si>
    <t>基金委託人權益明細表(續)</t>
    <phoneticPr fontId="3" type="noConversion"/>
  </si>
  <si>
    <t xml:space="preserve">                中華民國99</t>
    <phoneticPr fontId="3" type="noConversion"/>
  </si>
  <si>
    <t>本金賸餘</t>
    <phoneticPr fontId="3" type="noConversion"/>
  </si>
  <si>
    <t>運用賸餘</t>
    <phoneticPr fontId="3" type="noConversion"/>
  </si>
  <si>
    <t>首次採用
IFRS調整數</t>
    <phoneticPr fontId="3" type="noConversion"/>
  </si>
  <si>
    <t>未達法定收益
待撥補數</t>
    <phoneticPr fontId="3" type="noConversion"/>
  </si>
  <si>
    <t xml:space="preserve">diff </t>
    <phoneticPr fontId="3" type="noConversion"/>
  </si>
  <si>
    <r>
      <t>94</t>
    </r>
    <r>
      <rPr>
        <sz val="10"/>
        <rFont val="標楷體"/>
        <family val="4"/>
        <charset val="136"/>
      </rPr>
      <t>年</t>
    </r>
  </si>
  <si>
    <r>
      <t>95</t>
    </r>
    <r>
      <rPr>
        <sz val="10"/>
        <rFont val="標楷體"/>
        <family val="4"/>
        <charset val="136"/>
      </rPr>
      <t>年</t>
    </r>
  </si>
  <si>
    <t>-</t>
    <phoneticPr fontId="3" type="noConversion"/>
  </si>
  <si>
    <r>
      <t>96</t>
    </r>
    <r>
      <rPr>
        <sz val="10"/>
        <rFont val="標楷體"/>
        <family val="4"/>
        <charset val="136"/>
      </rPr>
      <t>年</t>
    </r>
  </si>
  <si>
    <r>
      <t>98</t>
    </r>
    <r>
      <rPr>
        <sz val="11"/>
        <rFont val="標楷體"/>
        <family val="4"/>
        <charset val="136"/>
      </rPr>
      <t>年</t>
    </r>
  </si>
  <si>
    <r>
      <t>98</t>
    </r>
    <r>
      <rPr>
        <sz val="10"/>
        <rFont val="標楷體"/>
        <family val="4"/>
        <charset val="136"/>
      </rPr>
      <t>年</t>
    </r>
  </si>
  <si>
    <r>
      <t>104</t>
    </r>
    <r>
      <rPr>
        <sz val="11"/>
        <rFont val="標楷體"/>
        <family val="4"/>
        <charset val="136"/>
      </rPr>
      <t>年</t>
    </r>
    <phoneticPr fontId="3" type="noConversion"/>
  </si>
  <si>
    <r>
      <t>105</t>
    </r>
    <r>
      <rPr>
        <sz val="11"/>
        <rFont val="標楷體"/>
        <family val="4"/>
        <charset val="136"/>
      </rPr>
      <t>年</t>
    </r>
  </si>
  <si>
    <r>
      <t>106</t>
    </r>
    <r>
      <rPr>
        <sz val="11"/>
        <rFont val="標楷體"/>
        <family val="4"/>
        <charset val="136"/>
      </rPr>
      <t>年</t>
    </r>
    <phoneticPr fontId="3" type="noConversion"/>
  </si>
  <si>
    <r>
      <t>107</t>
    </r>
    <r>
      <rPr>
        <sz val="11"/>
        <rFont val="標楷體"/>
        <family val="4"/>
        <charset val="136"/>
      </rPr>
      <t>年</t>
    </r>
    <phoneticPr fontId="3" type="noConversion"/>
  </si>
  <si>
    <r>
      <t>108</t>
    </r>
    <r>
      <rPr>
        <sz val="11"/>
        <rFont val="標楷體"/>
        <family val="4"/>
        <charset val="136"/>
      </rPr>
      <t>年</t>
    </r>
    <phoneticPr fontId="3" type="noConversion"/>
  </si>
  <si>
    <r>
      <rPr>
        <sz val="11"/>
        <rFont val="標楷體"/>
        <family val="4"/>
        <charset val="136"/>
      </rPr>
      <t>註：自</t>
    </r>
    <r>
      <rPr>
        <sz val="11"/>
        <rFont val="Times New Roman"/>
        <family val="1"/>
      </rPr>
      <t>105</t>
    </r>
    <r>
      <rPr>
        <sz val="11"/>
        <rFont val="標楷體"/>
        <family val="4"/>
        <charset val="136"/>
      </rPr>
      <t>年度起採行國際財務報導準則（</t>
    </r>
    <r>
      <rPr>
        <sz val="11"/>
        <rFont val="Times New Roman"/>
        <family val="1"/>
      </rPr>
      <t>IFRS</t>
    </r>
    <r>
      <rPr>
        <sz val="11"/>
        <rFont val="標楷體"/>
        <family val="4"/>
        <charset val="136"/>
      </rPr>
      <t>），配合調整項目如下：</t>
    </r>
    <phoneticPr fontId="3" type="noConversion"/>
  </si>
  <si>
    <r>
      <t xml:space="preserve">         1.104</t>
    </r>
    <r>
      <rPr>
        <sz val="11"/>
        <rFont val="標楷體"/>
        <family val="4"/>
        <charset val="136"/>
      </rPr>
      <t>年度委託人權益數係以重編後數字列示，其原列政、公、教、軍人員分別為</t>
    </r>
    <r>
      <rPr>
        <sz val="11"/>
        <rFont val="Times New Roman"/>
        <family val="1"/>
      </rPr>
      <t>56,657</t>
    </r>
    <r>
      <rPr>
        <sz val="11"/>
        <rFont val="標楷體"/>
        <family val="4"/>
        <charset val="136"/>
      </rPr>
      <t>千元、</t>
    </r>
    <r>
      <rPr>
        <sz val="11"/>
        <rFont val="Times New Roman"/>
        <family val="1"/>
      </rPr>
      <t xml:space="preserve">    </t>
    </r>
    <phoneticPr fontId="3" type="noConversion"/>
  </si>
  <si>
    <r>
      <t xml:space="preserve">            339,739,961</t>
    </r>
    <r>
      <rPr>
        <sz val="11"/>
        <rFont val="標楷體"/>
        <family val="4"/>
        <charset val="136"/>
      </rPr>
      <t>千元、</t>
    </r>
    <r>
      <rPr>
        <sz val="11"/>
        <rFont val="Times New Roman"/>
        <family val="1"/>
      </rPr>
      <t>204,558,719</t>
    </r>
    <r>
      <rPr>
        <sz val="11"/>
        <rFont val="標楷體"/>
        <family val="4"/>
        <charset val="136"/>
      </rPr>
      <t>千元及</t>
    </r>
    <r>
      <rPr>
        <sz val="11"/>
        <rFont val="Times New Roman"/>
        <family val="1"/>
      </rPr>
      <t>29,253,599</t>
    </r>
    <r>
      <rPr>
        <sz val="11"/>
        <rFont val="標楷體"/>
        <family val="4"/>
        <charset val="136"/>
      </rPr>
      <t>千元。</t>
    </r>
    <phoneticPr fontId="3" type="noConversion"/>
  </si>
  <si>
    <r>
      <t xml:space="preserve">         2.104</t>
    </r>
    <r>
      <rPr>
        <sz val="11"/>
        <rFont val="標楷體"/>
        <family val="4"/>
        <charset val="136"/>
      </rPr>
      <t>年度未達法定收益待撥補數</t>
    </r>
    <r>
      <rPr>
        <sz val="11"/>
        <rFont val="Times New Roman"/>
        <family val="1"/>
      </rPr>
      <t>21.6</t>
    </r>
    <r>
      <rPr>
        <sz val="11"/>
        <rFont val="標楷體"/>
        <family val="4"/>
        <charset val="136"/>
      </rPr>
      <t>億元配合</t>
    </r>
    <r>
      <rPr>
        <sz val="11"/>
        <rFont val="Times New Roman"/>
        <family val="1"/>
      </rPr>
      <t>IFRS</t>
    </r>
    <r>
      <rPr>
        <sz val="11"/>
        <rFont val="標楷體"/>
        <family val="4"/>
        <charset val="136"/>
      </rPr>
      <t>及主計總處規範進行重分類至運用賸餘。</t>
    </r>
    <phoneticPr fontId="3" type="noConversion"/>
  </si>
  <si>
    <r>
      <t xml:space="preserve">         3.</t>
    </r>
    <r>
      <rPr>
        <sz val="11"/>
        <rFont val="標楷體"/>
        <family val="4"/>
        <charset val="136"/>
      </rPr>
      <t>權益調整項目配合</t>
    </r>
    <r>
      <rPr>
        <sz val="11"/>
        <rFont val="Times New Roman"/>
        <family val="1"/>
      </rPr>
      <t>IFRS</t>
    </r>
    <r>
      <rPr>
        <sz val="11"/>
        <rFont val="標楷體"/>
        <family val="4"/>
        <charset val="136"/>
      </rPr>
      <t>更名為累積其他綜合損益。</t>
    </r>
    <phoneticPr fontId="3" type="noConversion"/>
  </si>
  <si>
    <r>
      <t xml:space="preserve">            2.</t>
    </r>
    <r>
      <rPr>
        <sz val="10"/>
        <rFont val="標楷體"/>
        <family val="4"/>
        <charset val="136"/>
      </rPr>
      <t>配合</t>
    </r>
    <r>
      <rPr>
        <sz val="10"/>
        <rFont val="Times New Roman"/>
        <family val="1"/>
      </rPr>
      <t>105</t>
    </r>
    <r>
      <rPr>
        <sz val="10"/>
        <rFont val="標楷體"/>
        <family val="4"/>
        <charset val="136"/>
      </rPr>
      <t>年度參採國際財務報導準則（</t>
    </r>
    <r>
      <rPr>
        <sz val="10"/>
        <rFont val="Times New Roman"/>
        <family val="1"/>
      </rPr>
      <t>IFRS</t>
    </r>
    <r>
      <rPr>
        <sz val="10"/>
        <rFont val="標楷體"/>
        <family val="4"/>
        <charset val="136"/>
      </rPr>
      <t>），</t>
    </r>
    <r>
      <rPr>
        <sz val="10"/>
        <rFont val="Times New Roman"/>
        <family val="1"/>
      </rPr>
      <t>104</t>
    </r>
    <r>
      <rPr>
        <sz val="10"/>
        <rFont val="標楷體"/>
        <family val="4"/>
        <charset val="136"/>
      </rPr>
      <t>年度係以重編後之資產列計，並調整項目如下：</t>
    </r>
    <r>
      <rPr>
        <sz val="10"/>
        <rFont val="Times New Roman"/>
        <family val="1"/>
      </rPr>
      <t xml:space="preserve">           </t>
    </r>
    <phoneticPr fontId="3" type="noConversion"/>
  </si>
  <si>
    <r>
      <t xml:space="preserve">            2.</t>
    </r>
    <r>
      <rPr>
        <sz val="10"/>
        <rFont val="標楷體"/>
        <family val="4"/>
        <charset val="136"/>
      </rPr>
      <t>配合</t>
    </r>
    <r>
      <rPr>
        <sz val="10"/>
        <rFont val="Times New Roman"/>
        <family val="1"/>
      </rPr>
      <t>105</t>
    </r>
    <r>
      <rPr>
        <sz val="10"/>
        <rFont val="標楷體"/>
        <family val="4"/>
        <charset val="136"/>
      </rPr>
      <t>年度參採國際財務報導準則（</t>
    </r>
    <r>
      <rPr>
        <sz val="10"/>
        <rFont val="Times New Roman"/>
        <family val="1"/>
      </rPr>
      <t>IFRS</t>
    </r>
    <r>
      <rPr>
        <sz val="10"/>
        <rFont val="標楷體"/>
        <family val="4"/>
        <charset val="136"/>
      </rPr>
      <t>），</t>
    </r>
    <r>
      <rPr>
        <sz val="10"/>
        <rFont val="Times New Roman"/>
        <family val="1"/>
      </rPr>
      <t>104</t>
    </r>
    <r>
      <rPr>
        <sz val="10"/>
        <rFont val="標楷體"/>
        <family val="4"/>
        <charset val="136"/>
      </rPr>
      <t>年度係以重編後之資產列計。</t>
    </r>
    <phoneticPr fontId="3" type="noConversion"/>
  </si>
  <si>
    <r>
      <t xml:space="preserve">            4.</t>
    </r>
    <r>
      <rPr>
        <sz val="11"/>
        <rFont val="標楷體"/>
        <family val="4"/>
        <charset val="136"/>
      </rPr>
      <t>自</t>
    </r>
    <r>
      <rPr>
        <sz val="11"/>
        <rFont val="Times New Roman"/>
        <family val="1"/>
      </rPr>
      <t>105</t>
    </r>
    <r>
      <rPr>
        <sz val="11"/>
        <rFont val="標楷體"/>
        <family val="4"/>
        <charset val="136"/>
      </rPr>
      <t>年度起參採國際財務報導準則</t>
    </r>
    <r>
      <rPr>
        <sz val="11"/>
        <rFont val="Times New Roman"/>
        <family val="1"/>
      </rPr>
      <t>(IFRS)</t>
    </r>
    <r>
      <rPr>
        <sz val="11"/>
        <rFont val="標楷體"/>
        <family val="4"/>
        <charset val="136"/>
      </rPr>
      <t>，</t>
    </r>
    <r>
      <rPr>
        <sz val="11"/>
        <rFont val="Times New Roman"/>
        <family val="1"/>
      </rPr>
      <t>104</t>
    </r>
    <r>
      <rPr>
        <sz val="11"/>
        <rFont val="標楷體"/>
        <family val="4"/>
        <charset val="136"/>
      </rPr>
      <t>年度係以重編後之收入、支出列計。</t>
    </r>
    <phoneticPr fontId="3" type="noConversion"/>
  </si>
  <si>
    <r>
      <t xml:space="preserve">             4.</t>
    </r>
    <r>
      <rPr>
        <sz val="10"/>
        <rFont val="標楷體"/>
        <family val="4"/>
        <charset val="136"/>
      </rPr>
      <t>自</t>
    </r>
    <r>
      <rPr>
        <sz val="10"/>
        <rFont val="Times New Roman"/>
        <family val="1"/>
      </rPr>
      <t>105</t>
    </r>
    <r>
      <rPr>
        <sz val="10"/>
        <rFont val="標楷體"/>
        <family val="4"/>
        <charset val="136"/>
      </rPr>
      <t>年度起參採國際財務報導準則</t>
    </r>
    <r>
      <rPr>
        <sz val="10"/>
        <rFont val="Times New Roman"/>
        <family val="1"/>
      </rPr>
      <t>(IFRS)</t>
    </r>
    <r>
      <rPr>
        <sz val="10"/>
        <rFont val="標楷體"/>
        <family val="4"/>
        <charset val="136"/>
      </rPr>
      <t>，</t>
    </r>
    <r>
      <rPr>
        <sz val="10"/>
        <rFont val="Times New Roman"/>
        <family val="1"/>
      </rPr>
      <t>104</t>
    </r>
    <r>
      <rPr>
        <sz val="10"/>
        <rFont val="標楷體"/>
        <family val="4"/>
        <charset val="136"/>
      </rPr>
      <t>年度決算數係以重編後之收入、支出列計。</t>
    </r>
    <phoneticPr fontId="3" type="noConversion"/>
  </si>
  <si>
    <r>
      <t>102</t>
    </r>
    <r>
      <rPr>
        <sz val="11"/>
        <rFont val="標楷體"/>
        <family val="4"/>
        <charset val="136"/>
      </rPr>
      <t>年</t>
    </r>
    <phoneticPr fontId="3" type="noConversion"/>
  </si>
  <si>
    <t>累積其他
綜合賸餘(短絀)</t>
  </si>
  <si>
    <t>附錄2     國內委託經營績效彙總表</t>
    <phoneticPr fontId="3" type="noConversion"/>
  </si>
  <si>
    <t>單位：新臺幣元；%</t>
    <phoneticPr fontId="3" type="noConversion"/>
  </si>
  <si>
    <t>批次</t>
    <phoneticPr fontId="3" type="noConversion"/>
  </si>
  <si>
    <t>委託
日期</t>
    <phoneticPr fontId="3" type="noConversion"/>
  </si>
  <si>
    <t>委託
型態</t>
    <phoneticPr fontId="3" type="noConversion"/>
  </si>
  <si>
    <t>委託
金額</t>
    <phoneticPr fontId="3" type="noConversion"/>
  </si>
  <si>
    <t>資產
淨值</t>
    <phoneticPr fontId="3" type="noConversion"/>
  </si>
  <si>
    <t>總損益
金額</t>
    <phoneticPr fontId="3" type="noConversion"/>
  </si>
  <si>
    <t>總損益
比例(%)</t>
    <phoneticPr fontId="3" type="noConversion"/>
  </si>
  <si>
    <t>108年度
報酬率(%)</t>
    <phoneticPr fontId="3" type="noConversion"/>
  </si>
  <si>
    <t>第12次</t>
    <phoneticPr fontId="3" type="noConversion"/>
  </si>
  <si>
    <t>101.6.5</t>
    <phoneticPr fontId="3" type="noConversion"/>
  </si>
  <si>
    <t>相對報酬
股票型</t>
    <phoneticPr fontId="3" type="noConversion"/>
  </si>
  <si>
    <t>第13次</t>
  </si>
  <si>
    <t>103.9.26</t>
    <phoneticPr fontId="3" type="noConversion"/>
  </si>
  <si>
    <t>第15次</t>
    <phoneticPr fontId="3" type="noConversion"/>
  </si>
  <si>
    <t>107.10.16</t>
    <phoneticPr fontId="3" type="noConversion"/>
  </si>
  <si>
    <t xml:space="preserve"> </t>
    <phoneticPr fontId="3" type="noConversion"/>
  </si>
  <si>
    <t>附錄3     國外委託經營績效彙總表</t>
    <phoneticPr fontId="3" type="noConversion"/>
  </si>
  <si>
    <t>單位：新臺幣元、美元；%</t>
    <phoneticPr fontId="3" type="noConversion"/>
  </si>
  <si>
    <t>委託金額
(美元)</t>
    <phoneticPr fontId="3" type="noConversion"/>
  </si>
  <si>
    <t>資產淨值
(美元)</t>
    <phoneticPr fontId="3" type="noConversion"/>
  </si>
  <si>
    <t>總損益(美元)</t>
    <phoneticPr fontId="3" type="noConversion"/>
  </si>
  <si>
    <t>總損益(新台幣)</t>
    <phoneticPr fontId="3" type="noConversion"/>
  </si>
  <si>
    <t>比例(%)</t>
    <phoneticPr fontId="3" type="noConversion"/>
  </si>
  <si>
    <t>第4次
(續約)</t>
    <phoneticPr fontId="3" type="noConversion"/>
  </si>
  <si>
    <t>102.9.14</t>
    <phoneticPr fontId="3" type="noConversion"/>
  </si>
  <si>
    <t>國際
股票型</t>
    <phoneticPr fontId="3" type="noConversion"/>
  </si>
  <si>
    <t>第5次
(續約)</t>
    <phoneticPr fontId="3" type="noConversion"/>
  </si>
  <si>
    <t>103.4.28</t>
    <phoneticPr fontId="3" type="noConversion"/>
  </si>
  <si>
    <t>亞太
股票型</t>
    <phoneticPr fontId="3" type="noConversion"/>
  </si>
  <si>
    <t>103.6.4</t>
    <phoneticPr fontId="3" type="noConversion"/>
  </si>
  <si>
    <t>第6次</t>
  </si>
  <si>
    <t>100.8.16</t>
    <phoneticPr fontId="3" type="noConversion"/>
  </si>
  <si>
    <t>新興
股票型</t>
    <phoneticPr fontId="3" type="noConversion"/>
  </si>
  <si>
    <t>第7次</t>
  </si>
  <si>
    <t>101.6.7</t>
    <phoneticPr fontId="3" type="noConversion"/>
  </si>
  <si>
    <t>公司
債券型</t>
    <phoneticPr fontId="3" type="noConversion"/>
  </si>
  <si>
    <t>第9次</t>
    <phoneticPr fontId="3" type="noConversion"/>
  </si>
  <si>
    <t>103.10.1</t>
    <phoneticPr fontId="3" type="noConversion"/>
  </si>
  <si>
    <t>高股利
股票型</t>
    <phoneticPr fontId="3" type="noConversion"/>
  </si>
  <si>
    <t>104.6.1</t>
    <phoneticPr fontId="3" type="noConversion"/>
  </si>
  <si>
    <t>低波動
股票型</t>
    <phoneticPr fontId="3" type="noConversion"/>
  </si>
  <si>
    <t xml:space="preserve">第10次
</t>
    <phoneticPr fontId="3" type="noConversion"/>
  </si>
  <si>
    <t>104.3.18</t>
    <phoneticPr fontId="3" type="noConversion"/>
  </si>
  <si>
    <t>基礎建設
股票型</t>
    <phoneticPr fontId="3" type="noConversion"/>
  </si>
  <si>
    <t>不動產
股票型</t>
    <phoneticPr fontId="3" type="noConversion"/>
  </si>
  <si>
    <t>第11次</t>
    <phoneticPr fontId="3" type="noConversion"/>
  </si>
  <si>
    <t>106.6.5</t>
    <phoneticPr fontId="3" type="noConversion"/>
  </si>
  <si>
    <t>多元資產型</t>
    <phoneticPr fontId="3" type="noConversion"/>
  </si>
  <si>
    <t>第12次</t>
    <phoneticPr fontId="3" type="noConversion"/>
  </si>
  <si>
    <t>107.6.5</t>
    <phoneticPr fontId="3" type="noConversion"/>
  </si>
  <si>
    <t>總報酬固定收益型</t>
    <phoneticPr fontId="3" type="noConversion"/>
  </si>
  <si>
    <t>合計</t>
    <phoneticPr fontId="3" type="noConversion"/>
  </si>
  <si>
    <t>附註：依108年12月31日臺灣銀行外幣結帳價格表之新臺幣對美元匯率29.99換算。</t>
    <phoneticPr fontId="3" type="noConversion"/>
  </si>
  <si>
    <t xml:space="preserve">       表50 退撫基金運用組合規劃表</t>
    <phoneticPr fontId="3" type="noConversion"/>
  </si>
  <si>
    <t>單位：%</t>
    <phoneticPr fontId="3" type="noConversion"/>
  </si>
  <si>
    <t>項目
區分</t>
    <phoneticPr fontId="3" type="noConversion"/>
  </si>
  <si>
    <t>允許變
動區間
(%)</t>
    <phoneticPr fontId="3" type="noConversion"/>
  </si>
  <si>
    <t>運用項目</t>
    <phoneticPr fontId="3" type="noConversion"/>
  </si>
  <si>
    <t>check
G欄中心
配置</t>
    <phoneticPr fontId="3" type="noConversion"/>
  </si>
  <si>
    <t>check
表51中心配置</t>
    <phoneticPr fontId="3" type="noConversion"/>
  </si>
  <si>
    <t>check
表51允許變動區間</t>
    <phoneticPr fontId="3" type="noConversion"/>
  </si>
  <si>
    <t>check
U欄加權目標
收益率</t>
    <phoneticPr fontId="3" type="noConversion"/>
  </si>
  <si>
    <t>資本利得</t>
    <phoneticPr fontId="3" type="noConversion"/>
  </si>
  <si>
    <t>國內</t>
    <phoneticPr fontId="3" type="noConversion"/>
  </si>
  <si>
    <r>
      <t xml:space="preserve"> 1.</t>
    </r>
    <r>
      <rPr>
        <sz val="16"/>
        <rFont val="標楷體"/>
        <family val="4"/>
        <charset val="136"/>
      </rPr>
      <t>上市</t>
    </r>
    <r>
      <rPr>
        <sz val="16"/>
        <rFont val="Times New Roman"/>
        <family val="1"/>
      </rPr>
      <t>(</t>
    </r>
    <r>
      <rPr>
        <sz val="16"/>
        <rFont val="標楷體"/>
        <family val="4"/>
        <charset val="136"/>
      </rPr>
      <t>上櫃</t>
    </r>
    <r>
      <rPr>
        <sz val="16"/>
        <rFont val="Times New Roman"/>
        <family val="1"/>
      </rPr>
      <t>)</t>
    </r>
    <r>
      <rPr>
        <sz val="16"/>
        <rFont val="標楷體"/>
        <family val="4"/>
        <charset val="136"/>
      </rPr>
      <t>公司股票及</t>
    </r>
    <r>
      <rPr>
        <sz val="16"/>
        <rFont val="Times New Roman"/>
        <family val="1"/>
      </rPr>
      <t>ETF</t>
    </r>
    <phoneticPr fontId="3" type="noConversion"/>
  </si>
  <si>
    <r>
      <t xml:space="preserve"> 2.</t>
    </r>
    <r>
      <rPr>
        <sz val="16"/>
        <rFont val="標楷體"/>
        <family val="4"/>
        <charset val="136"/>
      </rPr>
      <t>受益憑證及共同信託基金</t>
    </r>
    <phoneticPr fontId="3" type="noConversion"/>
  </si>
  <si>
    <t>固定收益</t>
    <phoneticPr fontId="3" type="noConversion"/>
  </si>
  <si>
    <r>
      <t xml:space="preserve"> 5.</t>
    </r>
    <r>
      <rPr>
        <sz val="16"/>
        <rFont val="標楷體"/>
        <family val="4"/>
        <charset val="136"/>
      </rPr>
      <t>臺幣銀行存款</t>
    </r>
    <phoneticPr fontId="3" type="noConversion"/>
  </si>
  <si>
    <r>
      <t>10.</t>
    </r>
    <r>
      <rPr>
        <sz val="16"/>
        <rFont val="標楷體"/>
        <family val="4"/>
        <charset val="136"/>
      </rPr>
      <t>外幣銀行存款</t>
    </r>
    <phoneticPr fontId="3" type="noConversion"/>
  </si>
  <si>
    <r>
      <t>11.</t>
    </r>
    <r>
      <rPr>
        <sz val="16"/>
        <rFont val="標楷體"/>
        <family val="4"/>
        <charset val="136"/>
      </rPr>
      <t>短期票券及庫券</t>
    </r>
    <phoneticPr fontId="3" type="noConversion"/>
  </si>
  <si>
    <r>
      <t>12.</t>
    </r>
    <r>
      <rPr>
        <sz val="16"/>
        <rFont val="標楷體"/>
        <family val="4"/>
        <charset val="136"/>
      </rPr>
      <t>債券</t>
    </r>
    <phoneticPr fontId="3" type="noConversion"/>
  </si>
  <si>
    <t>check
k欄中心
配置</t>
    <phoneticPr fontId="3" type="noConversion"/>
  </si>
  <si>
    <t>check
M欄允許變動區間</t>
    <phoneticPr fontId="3" type="noConversion"/>
  </si>
  <si>
    <t>check
k欄合計</t>
    <phoneticPr fontId="3" type="noConversion"/>
  </si>
  <si>
    <r>
      <t xml:space="preserve">        2.</t>
    </r>
    <r>
      <rPr>
        <sz val="16"/>
        <rFont val="標楷體"/>
        <family val="4"/>
        <charset val="136"/>
      </rPr>
      <t>本基金資產配置比重，資本利得中心配置比例</t>
    </r>
    <r>
      <rPr>
        <sz val="16"/>
        <rFont val="Times New Roman"/>
        <family val="1"/>
      </rPr>
      <t>53.1%</t>
    </r>
    <r>
      <rPr>
        <sz val="16"/>
        <rFont val="標楷體"/>
        <family val="4"/>
        <charset val="136"/>
      </rPr>
      <t>（允許變動區間</t>
    </r>
    <r>
      <rPr>
        <sz val="16"/>
        <rFont val="Times New Roman"/>
        <family val="1"/>
      </rPr>
      <t>35%~64%</t>
    </r>
    <r>
      <rPr>
        <sz val="16"/>
        <rFont val="標楷體"/>
        <family val="4"/>
        <charset val="136"/>
      </rPr>
      <t>），固定收益中心配置比例</t>
    </r>
    <r>
      <rPr>
        <sz val="16"/>
        <rFont val="Times New Roman"/>
        <family val="1"/>
      </rPr>
      <t>40.9%</t>
    </r>
    <r>
      <rPr>
        <sz val="16"/>
        <rFont val="標楷體"/>
        <family val="4"/>
        <charset val="136"/>
      </rPr>
      <t>（允許變動</t>
    </r>
    <r>
      <rPr>
        <sz val="16"/>
        <rFont val="Times New Roman"/>
        <family val="1"/>
      </rPr>
      <t/>
    </r>
  </si>
  <si>
    <r>
      <rPr>
        <sz val="12"/>
        <rFont val="新細明體"/>
        <family val="1"/>
        <charset val="136"/>
      </rPr>
      <t>以投資為目的，未來本會將視實際需要配合運用。</t>
    </r>
    <phoneticPr fontId="3" type="noConversion"/>
  </si>
  <si>
    <r>
      <t xml:space="preserve">           </t>
    </r>
    <r>
      <rPr>
        <sz val="16"/>
        <rFont val="標楷體"/>
        <family val="4"/>
        <charset val="136"/>
      </rPr>
      <t>區間</t>
    </r>
    <r>
      <rPr>
        <sz val="16"/>
        <rFont val="Times New Roman"/>
        <family val="1"/>
      </rPr>
      <t xml:space="preserve"> 33%~63%</t>
    </r>
    <r>
      <rPr>
        <sz val="16"/>
        <rFont val="標楷體"/>
        <family val="4"/>
        <charset val="136"/>
      </rPr>
      <t>），另類投資中心配置比例</t>
    </r>
    <r>
      <rPr>
        <sz val="16"/>
        <rFont val="Times New Roman"/>
        <family val="1"/>
      </rPr>
      <t>6%</t>
    </r>
    <r>
      <rPr>
        <sz val="16"/>
        <rFont val="標楷體"/>
        <family val="4"/>
        <charset val="136"/>
      </rPr>
      <t>（允許變動區間</t>
    </r>
    <r>
      <rPr>
        <sz val="16"/>
        <rFont val="Times New Roman"/>
        <family val="1"/>
      </rPr>
      <t>2%~10%</t>
    </r>
    <r>
      <rPr>
        <sz val="16"/>
        <rFont val="標楷體"/>
        <family val="4"/>
        <charset val="136"/>
      </rPr>
      <t>）；國內投資中心配置比例</t>
    </r>
    <r>
      <rPr>
        <sz val="16"/>
        <rFont val="Times New Roman"/>
        <family val="1"/>
      </rPr>
      <t>50.9%</t>
    </r>
    <r>
      <rPr>
        <sz val="16"/>
        <rFont val="標楷體"/>
        <family val="4"/>
        <charset val="136"/>
      </rPr>
      <t>（允許變動區間</t>
    </r>
    <r>
      <rPr>
        <sz val="16"/>
        <rFont val="Times New Roman"/>
        <family val="1"/>
      </rPr>
      <t/>
    </r>
  </si>
  <si>
    <r>
      <t xml:space="preserve">           41%~68%</t>
    </r>
    <r>
      <rPr>
        <sz val="16"/>
        <rFont val="標楷體"/>
        <family val="4"/>
        <charset val="136"/>
      </rPr>
      <t>），國外投資中心配置比例</t>
    </r>
    <r>
      <rPr>
        <sz val="16"/>
        <rFont val="Times New Roman"/>
        <family val="1"/>
      </rPr>
      <t>49.1%</t>
    </r>
    <r>
      <rPr>
        <sz val="16"/>
        <rFont val="標楷體"/>
        <family val="4"/>
        <charset val="136"/>
      </rPr>
      <t>（允許變動區間</t>
    </r>
    <r>
      <rPr>
        <sz val="16"/>
        <rFont val="Times New Roman"/>
        <family val="1"/>
      </rPr>
      <t>32%~59%</t>
    </r>
    <r>
      <rPr>
        <sz val="16"/>
        <rFont val="標楷體"/>
        <family val="4"/>
        <charset val="136"/>
      </rPr>
      <t>）。</t>
    </r>
    <phoneticPr fontId="3" type="noConversion"/>
  </si>
  <si>
    <t>表1  最近10年參加退撫基金機關(構)及學校數</t>
    <phoneticPr fontId="3" type="noConversion"/>
  </si>
  <si>
    <t xml:space="preserve">                  中華民國99年底至108年底</t>
    <phoneticPr fontId="3" type="noConversion"/>
  </si>
  <si>
    <t>單位：個</t>
    <phoneticPr fontId="3" type="noConversion"/>
  </si>
  <si>
    <t>公營事業
機構</t>
    <phoneticPr fontId="3" type="noConversion"/>
  </si>
  <si>
    <t>93年</t>
    <phoneticPr fontId="3" type="noConversion"/>
  </si>
  <si>
    <t>附註：配合臺灣省、福建省改屬中央政府派出機關，原「省市政府」僅包括直轄市政府資料，爰自</t>
    <phoneticPr fontId="3" type="noConversion"/>
  </si>
  <si>
    <t xml:space="preserve">      101年7月份起更改項目名稱為「直轄市政府」。</t>
    <phoneticPr fontId="3" type="noConversion"/>
  </si>
  <si>
    <t>公式</t>
    <phoneticPr fontId="3" type="noConversion"/>
  </si>
  <si>
    <t>10８四類人其他綜損</t>
    <phoneticPr fontId="3" type="noConversion"/>
  </si>
  <si>
    <r>
      <rPr>
        <sz val="14"/>
        <rFont val="標楷體"/>
        <family val="4"/>
        <charset val="136"/>
      </rPr>
      <t>中華民國</t>
    </r>
    <phoneticPr fontId="3" type="noConversion"/>
  </si>
  <si>
    <r>
      <t>108</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t>
    </r>
    <phoneticPr fontId="3" type="noConversion"/>
  </si>
  <si>
    <t xml:space="preserve">單位：新臺幣元  </t>
    <phoneticPr fontId="3" type="noConversion"/>
  </si>
  <si>
    <r>
      <rPr>
        <sz val="12"/>
        <rFont val="標楷體"/>
        <family val="4"/>
        <charset val="136"/>
      </rPr>
      <t>精算基準日</t>
    </r>
    <phoneticPr fontId="3" type="noConversion"/>
  </si>
  <si>
    <r>
      <rPr>
        <sz val="12"/>
        <rFont val="標楷體"/>
        <family val="4"/>
        <charset val="136"/>
      </rPr>
      <t>基金資產</t>
    </r>
    <phoneticPr fontId="3" type="noConversion"/>
  </si>
  <si>
    <r>
      <rPr>
        <sz val="12"/>
        <rFont val="標楷體"/>
        <family val="4"/>
        <charset val="136"/>
      </rPr>
      <t xml:space="preserve">領取給付人員及在職
人員之未來淨給付
精算現值
</t>
    </r>
    <r>
      <rPr>
        <sz val="12"/>
        <rFont val="Times New Roman"/>
        <family val="1"/>
      </rPr>
      <t>(</t>
    </r>
    <r>
      <rPr>
        <sz val="12"/>
        <rFont val="標楷體"/>
        <family val="4"/>
        <charset val="136"/>
      </rPr>
      <t>精算應計負債</t>
    </r>
    <r>
      <rPr>
        <sz val="12"/>
        <rFont val="Times New Roman"/>
        <family val="1"/>
      </rPr>
      <t>)</t>
    </r>
    <phoneticPr fontId="3" type="noConversion"/>
  </si>
  <si>
    <r>
      <rPr>
        <sz val="12"/>
        <rFont val="標楷體"/>
        <family val="4"/>
        <charset val="136"/>
      </rPr>
      <t>已提存退休基金</t>
    </r>
    <phoneticPr fontId="3" type="noConversion"/>
  </si>
  <si>
    <r>
      <rPr>
        <sz val="12"/>
        <rFont val="標楷體"/>
        <family val="4"/>
        <charset val="136"/>
      </rPr>
      <t>未提存</t>
    </r>
    <phoneticPr fontId="3" type="noConversion"/>
  </si>
  <si>
    <r>
      <rPr>
        <sz val="12"/>
        <rFont val="標楷體"/>
        <family val="4"/>
        <charset val="136"/>
      </rPr>
      <t>已提撥比例</t>
    </r>
    <phoneticPr fontId="3" type="noConversion"/>
  </si>
  <si>
    <r>
      <rPr>
        <sz val="12"/>
        <rFont val="標楷體"/>
        <family val="4"/>
        <charset val="136"/>
      </rPr>
      <t>涵蓋薪資</t>
    </r>
    <phoneticPr fontId="3" type="noConversion"/>
  </si>
  <si>
    <r>
      <rPr>
        <sz val="12"/>
        <rFont val="標楷體"/>
        <family val="4"/>
        <charset val="136"/>
      </rPr>
      <t>未提存精算應計負債</t>
    </r>
    <phoneticPr fontId="3" type="noConversion"/>
  </si>
  <si>
    <r>
      <rPr>
        <sz val="12"/>
        <rFont val="標楷體"/>
        <family val="4"/>
        <charset val="136"/>
      </rPr>
      <t>實際價值</t>
    </r>
    <phoneticPr fontId="3" type="noConversion"/>
  </si>
  <si>
    <r>
      <rPr>
        <sz val="12"/>
        <rFont val="標楷體"/>
        <family val="4"/>
        <charset val="136"/>
      </rPr>
      <t>精算應計負債</t>
    </r>
    <phoneticPr fontId="3" type="noConversion"/>
  </si>
  <si>
    <r>
      <rPr>
        <sz val="12"/>
        <rFont val="標楷體"/>
        <family val="4"/>
        <charset val="136"/>
      </rPr>
      <t>對涵蓋薪資之比例</t>
    </r>
    <phoneticPr fontId="3" type="noConversion"/>
  </si>
  <si>
    <t>(1)</t>
    <phoneticPr fontId="11" type="noConversion"/>
  </si>
  <si>
    <t>(2)</t>
    <phoneticPr fontId="11" type="noConversion"/>
  </si>
  <si>
    <t>(3)=(1)-(2)</t>
    <phoneticPr fontId="11" type="noConversion"/>
  </si>
  <si>
    <t>(2)/(1)</t>
    <phoneticPr fontId="11" type="noConversion"/>
  </si>
  <si>
    <t>(4)</t>
    <phoneticPr fontId="11" type="noConversion"/>
  </si>
  <si>
    <t>(3)/(4)</t>
    <phoneticPr fontId="11" type="noConversion"/>
  </si>
  <si>
    <r>
      <t>108</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3" type="noConversion"/>
  </si>
  <si>
    <r>
      <rPr>
        <sz val="12"/>
        <rFont val="標楷體"/>
        <family val="4"/>
        <charset val="136"/>
      </rPr>
      <t>身分別</t>
    </r>
    <phoneticPr fontId="3" type="noConversion"/>
  </si>
  <si>
    <r>
      <t xml:space="preserve">   </t>
    </r>
    <r>
      <rPr>
        <sz val="12"/>
        <rFont val="標楷體"/>
        <family val="4"/>
        <charset val="136"/>
      </rPr>
      <t>公務人員</t>
    </r>
    <phoneticPr fontId="3" type="noConversion"/>
  </si>
  <si>
    <r>
      <t xml:space="preserve">   </t>
    </r>
    <r>
      <rPr>
        <sz val="12"/>
        <rFont val="標楷體"/>
        <family val="4"/>
        <charset val="136"/>
      </rPr>
      <t>教育人員</t>
    </r>
    <phoneticPr fontId="3" type="noConversion"/>
  </si>
  <si>
    <r>
      <t xml:space="preserve">   </t>
    </r>
    <r>
      <rPr>
        <sz val="12"/>
        <rFont val="標楷體"/>
        <family val="4"/>
        <charset val="136"/>
      </rPr>
      <t>軍職人員</t>
    </r>
    <phoneticPr fontId="3" type="noConversion"/>
  </si>
  <si>
    <r>
      <t xml:space="preserve">   </t>
    </r>
    <r>
      <rPr>
        <sz val="12"/>
        <rFont val="標楷體"/>
        <family val="4"/>
        <charset val="136"/>
      </rPr>
      <t>政務人員</t>
    </r>
    <phoneticPr fontId="3" type="noConversion"/>
  </si>
  <si>
    <r>
      <rPr>
        <sz val="12"/>
        <rFont val="標楷體"/>
        <family val="4"/>
        <charset val="136"/>
      </rPr>
      <t>合計</t>
    </r>
    <phoneticPr fontId="3" type="noConversion"/>
  </si>
  <si>
    <t/>
  </si>
  <si>
    <r>
      <rPr>
        <sz val="12"/>
        <rFont val="標楷體"/>
        <family val="4"/>
        <charset val="136"/>
      </rPr>
      <t>註</t>
    </r>
    <r>
      <rPr>
        <sz val="12"/>
        <rFont val="Times New Roman"/>
        <family val="1"/>
      </rPr>
      <t>1</t>
    </r>
    <r>
      <rPr>
        <sz val="12"/>
        <rFont val="標楷體"/>
        <family val="4"/>
        <charset val="136"/>
      </rPr>
      <t>：本表委託精算專家編製，係表達基金在本年度之提撥進度。</t>
    </r>
    <phoneticPr fontId="3" type="noConversion"/>
  </si>
  <si>
    <r>
      <rPr>
        <sz val="12"/>
        <rFont val="標楷體"/>
        <family val="4"/>
        <charset val="136"/>
      </rPr>
      <t>註</t>
    </r>
    <r>
      <rPr>
        <sz val="12"/>
        <rFont val="Times New Roman"/>
        <family val="1"/>
      </rPr>
      <t>2</t>
    </r>
    <r>
      <rPr>
        <sz val="12"/>
        <rFont val="標楷體"/>
        <family val="4"/>
        <charset val="136"/>
      </rPr>
      <t>：領取給付人員及在職人員之未來淨給付精算現值包含下列兩項退休金負債之和：</t>
    </r>
    <phoneticPr fontId="11" type="noConversion"/>
  </si>
  <si>
    <r>
      <rPr>
        <sz val="12"/>
        <rFont val="標楷體"/>
        <family val="4"/>
        <charset val="136"/>
      </rPr>
      <t>　　　</t>
    </r>
    <r>
      <rPr>
        <sz val="12"/>
        <rFont val="Times New Roman"/>
        <family val="1"/>
      </rPr>
      <t>1.</t>
    </r>
    <r>
      <rPr>
        <sz val="12"/>
        <rFont val="標楷體"/>
        <family val="4"/>
        <charset val="136"/>
      </rPr>
      <t>領取定期給付人員於精算基準日之未來給付精算現值。</t>
    </r>
    <phoneticPr fontId="11" type="noConversion"/>
  </si>
  <si>
    <r>
      <rPr>
        <sz val="12"/>
        <rFont val="標楷體"/>
        <family val="4"/>
        <charset val="136"/>
      </rPr>
      <t>　　　</t>
    </r>
    <r>
      <rPr>
        <sz val="12"/>
        <rFont val="Times New Roman"/>
        <family val="1"/>
      </rPr>
      <t>2.</t>
    </r>
    <r>
      <rPr>
        <sz val="12"/>
        <rFont val="標楷體"/>
        <family val="4"/>
        <charset val="136"/>
      </rPr>
      <t>在職人員於精算基準日之未來淨給付精算現值：</t>
    </r>
    <phoneticPr fontId="11" type="noConversion"/>
  </si>
  <si>
    <r>
      <t xml:space="preserve">               </t>
    </r>
    <r>
      <rPr>
        <sz val="12"/>
        <rFont val="標楷體"/>
        <family val="4"/>
        <charset val="136"/>
      </rPr>
      <t>－未具有選擇權者：任職未滿</t>
    </r>
    <r>
      <rPr>
        <sz val="12"/>
        <rFont val="Times New Roman"/>
        <family val="1"/>
      </rPr>
      <t>15</t>
    </r>
    <r>
      <rPr>
        <sz val="12"/>
        <rFont val="標楷體"/>
        <family val="4"/>
        <charset val="136"/>
      </rPr>
      <t>年或年齡未滿</t>
    </r>
    <r>
      <rPr>
        <sz val="12"/>
        <rFont val="Times New Roman"/>
        <family val="1"/>
      </rPr>
      <t>50</t>
    </r>
    <r>
      <rPr>
        <sz val="12"/>
        <rFont val="標楷體"/>
        <family val="4"/>
        <charset val="136"/>
      </rPr>
      <t>歲，均按一次退休金支領方式計算</t>
    </r>
    <phoneticPr fontId="11" type="noConversion"/>
  </si>
  <si>
    <r>
      <t xml:space="preserve">                   </t>
    </r>
    <r>
      <rPr>
        <sz val="12"/>
        <rFont val="標楷體"/>
        <family val="4"/>
        <charset val="136"/>
      </rPr>
      <t>其精算負債。</t>
    </r>
    <phoneticPr fontId="3" type="noConversion"/>
  </si>
  <si>
    <r>
      <t xml:space="preserve">               </t>
    </r>
    <r>
      <rPr>
        <sz val="12"/>
        <rFont val="標楷體"/>
        <family val="4"/>
        <charset val="136"/>
      </rPr>
      <t>－具有選擇權者：則按月退休金之現行組合占率</t>
    </r>
    <r>
      <rPr>
        <sz val="12"/>
        <rFont val="Times New Roman"/>
        <family val="1"/>
      </rPr>
      <t>(</t>
    </r>
    <r>
      <rPr>
        <sz val="12"/>
        <rFont val="標楷體"/>
        <family val="4"/>
        <charset val="136"/>
      </rPr>
      <t>公務人員</t>
    </r>
    <r>
      <rPr>
        <sz val="12"/>
        <rFont val="Times New Roman"/>
        <family val="1"/>
      </rPr>
      <t>95%</t>
    </r>
    <r>
      <rPr>
        <sz val="12"/>
        <rFont val="標楷體"/>
        <family val="4"/>
        <charset val="136"/>
      </rPr>
      <t>、教育人員</t>
    </r>
    <r>
      <rPr>
        <sz val="12"/>
        <rFont val="Times New Roman"/>
        <family val="1"/>
      </rPr>
      <t>99%</t>
    </r>
    <r>
      <rPr>
        <sz val="12"/>
        <rFont val="標楷體"/>
        <family val="4"/>
        <charset val="136"/>
      </rPr>
      <t>、軍職</t>
    </r>
    <phoneticPr fontId="3" type="noConversion"/>
  </si>
  <si>
    <r>
      <t xml:space="preserve">                   </t>
    </r>
    <r>
      <rPr>
        <sz val="12"/>
        <rFont val="標楷體"/>
        <family val="4"/>
        <charset val="136"/>
      </rPr>
      <t>人員</t>
    </r>
    <r>
      <rPr>
        <sz val="12"/>
        <rFont val="Times New Roman"/>
        <family val="1"/>
      </rPr>
      <t>100%</t>
    </r>
    <r>
      <rPr>
        <sz val="12"/>
        <rFont val="標楷體"/>
        <family val="4"/>
        <charset val="136"/>
      </rPr>
      <t>及政務人員</t>
    </r>
    <r>
      <rPr>
        <sz val="12"/>
        <rFont val="Times New Roman"/>
        <family val="1"/>
      </rPr>
      <t>100%)</t>
    </r>
    <r>
      <rPr>
        <sz val="12"/>
        <rFont val="標楷體"/>
        <family val="4"/>
        <charset val="136"/>
      </rPr>
      <t>計算其精算負債。</t>
    </r>
    <phoneticPr fontId="3" type="noConversion"/>
  </si>
  <si>
    <r>
      <rPr>
        <sz val="12"/>
        <rFont val="標楷體"/>
        <family val="4"/>
        <charset val="136"/>
      </rPr>
      <t>註</t>
    </r>
    <r>
      <rPr>
        <sz val="12"/>
        <rFont val="Times New Roman"/>
        <family val="1"/>
      </rPr>
      <t>3</t>
    </r>
    <r>
      <rPr>
        <sz val="12"/>
        <rFont val="標楷體"/>
        <family val="4"/>
        <charset val="136"/>
      </rPr>
      <t>：已提存退休基金係參照公務人員退休撫卹基金</t>
    </r>
    <r>
      <rPr>
        <sz val="12"/>
        <rFont val="Times New Roman"/>
        <family val="1"/>
      </rPr>
      <t>108</t>
    </r>
    <r>
      <rPr>
        <sz val="12"/>
        <rFont val="標楷體"/>
        <family val="4"/>
        <charset val="136"/>
      </rPr>
      <t>年度委託人權益賸餘分配表編製，未含</t>
    </r>
    <phoneticPr fontId="3" type="noConversion"/>
  </si>
  <si>
    <t xml:space="preserve">     計尚未入帳之年金改革挹注款。</t>
    <phoneticPr fontId="3" type="noConversion"/>
  </si>
  <si>
    <r>
      <rPr>
        <sz val="12"/>
        <rFont val="標楷體"/>
        <family val="4"/>
        <charset val="136"/>
      </rPr>
      <t>註</t>
    </r>
    <r>
      <rPr>
        <sz val="12"/>
        <rFont val="Times New Roman"/>
        <family val="1"/>
      </rPr>
      <t>4</t>
    </r>
    <r>
      <rPr>
        <sz val="12"/>
        <rFont val="標楷體"/>
        <family val="4"/>
        <charset val="136"/>
      </rPr>
      <t>：涵蓋薪資係精算基準日</t>
    </r>
    <r>
      <rPr>
        <sz val="12"/>
        <rFont val="Times New Roman"/>
        <family val="1"/>
      </rPr>
      <t>(108</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r>
      <rPr>
        <sz val="12"/>
        <rFont val="Times New Roman"/>
        <family val="1"/>
      </rPr>
      <t>)</t>
    </r>
    <r>
      <rPr>
        <sz val="12"/>
        <rFont val="標楷體"/>
        <family val="4"/>
        <charset val="136"/>
      </rPr>
      <t>參加人員之年度本俸</t>
    </r>
    <r>
      <rPr>
        <sz val="12"/>
        <rFont val="Times New Roman"/>
        <family val="1"/>
      </rPr>
      <t>2</t>
    </r>
    <r>
      <rPr>
        <sz val="12"/>
        <rFont val="標楷體"/>
        <family val="4"/>
        <charset val="136"/>
      </rPr>
      <t>倍合計數。</t>
    </r>
    <phoneticPr fontId="3" type="noConversion"/>
  </si>
  <si>
    <r>
      <rPr>
        <sz val="12"/>
        <rFont val="標楷體"/>
        <family val="4"/>
        <charset val="136"/>
      </rPr>
      <t>註</t>
    </r>
    <r>
      <rPr>
        <sz val="12"/>
        <rFont val="Times New Roman"/>
        <family val="1"/>
      </rPr>
      <t>5</t>
    </r>
    <r>
      <rPr>
        <sz val="12"/>
        <rFont val="標楷體"/>
        <family val="4"/>
        <charset val="136"/>
      </rPr>
      <t>：具月退休金選擇權，以「任職滿</t>
    </r>
    <r>
      <rPr>
        <sz val="12"/>
        <rFont val="Times New Roman"/>
        <family val="1"/>
      </rPr>
      <t>15</t>
    </r>
    <r>
      <rPr>
        <sz val="12"/>
        <rFont val="標楷體"/>
        <family val="4"/>
        <charset val="136"/>
      </rPr>
      <t>年且年齡滿</t>
    </r>
    <r>
      <rPr>
        <sz val="12"/>
        <rFont val="Times New Roman"/>
        <family val="1"/>
      </rPr>
      <t>50</t>
    </r>
    <r>
      <rPr>
        <sz val="12"/>
        <rFont val="標楷體"/>
        <family val="4"/>
        <charset val="136"/>
      </rPr>
      <t>歲者」為條件，然</t>
    </r>
    <r>
      <rPr>
        <sz val="12"/>
        <rFont val="Times New Roman"/>
        <family val="1"/>
      </rPr>
      <t>106</t>
    </r>
    <r>
      <rPr>
        <sz val="12"/>
        <rFont val="標楷體"/>
        <family val="4"/>
        <charset val="136"/>
      </rPr>
      <t>年</t>
    </r>
    <r>
      <rPr>
        <sz val="12"/>
        <rFont val="Times New Roman"/>
        <family val="1"/>
      </rPr>
      <t>8</t>
    </r>
    <r>
      <rPr>
        <sz val="12"/>
        <rFont val="標楷體"/>
        <family val="4"/>
        <charset val="136"/>
      </rPr>
      <t>月</t>
    </r>
    <r>
      <rPr>
        <sz val="12"/>
        <rFont val="Times New Roman"/>
        <family val="1"/>
      </rPr>
      <t>9</t>
    </r>
    <r>
      <rPr>
        <sz val="12"/>
        <rFont val="標楷體"/>
        <family val="4"/>
        <charset val="136"/>
      </rPr>
      <t>日制定公布</t>
    </r>
    <phoneticPr fontId="3" type="noConversion"/>
  </si>
  <si>
    <r>
      <t xml:space="preserve">          </t>
    </r>
    <r>
      <rPr>
        <sz val="12"/>
        <rFont val="標楷體"/>
        <family val="4"/>
        <charset val="136"/>
      </rPr>
      <t>之公務人員退休資遣撫卹法，已將月退休金起支年齡延後至</t>
    </r>
    <r>
      <rPr>
        <sz val="12"/>
        <rFont val="Times New Roman"/>
        <family val="1"/>
      </rPr>
      <t>65</t>
    </r>
    <r>
      <rPr>
        <sz val="12"/>
        <rFont val="標楷體"/>
        <family val="4"/>
        <charset val="136"/>
      </rPr>
      <t>歲。另自</t>
    </r>
    <r>
      <rPr>
        <sz val="12"/>
        <rFont val="Times New Roman"/>
        <family val="1"/>
      </rPr>
      <t>107</t>
    </r>
    <r>
      <rPr>
        <sz val="12"/>
        <rFont val="標楷體"/>
        <family val="4"/>
        <charset val="136"/>
      </rPr>
      <t>年至</t>
    </r>
    <r>
      <rPr>
        <sz val="12"/>
        <rFont val="Times New Roman"/>
        <family val="1"/>
      </rPr>
      <t>119</t>
    </r>
    <r>
      <rPr>
        <sz val="12"/>
        <rFont val="標楷體"/>
        <family val="4"/>
        <charset val="136"/>
      </rPr>
      <t>年間</t>
    </r>
    <phoneticPr fontId="3" type="noConversion"/>
  </si>
  <si>
    <r>
      <t xml:space="preserve">          </t>
    </r>
    <r>
      <rPr>
        <sz val="12"/>
        <rFont val="標楷體"/>
        <family val="4"/>
        <charset val="136"/>
      </rPr>
      <t>設有過渡期間，以年資加年齡之合計數，符合當年法定指標數者為擇領條件，並於</t>
    </r>
    <r>
      <rPr>
        <sz val="12"/>
        <rFont val="Times New Roman"/>
        <family val="1"/>
      </rPr>
      <t>120</t>
    </r>
    <r>
      <rPr>
        <sz val="12"/>
        <rFont val="標楷體"/>
        <family val="4"/>
        <charset val="136"/>
      </rPr>
      <t>年</t>
    </r>
    <phoneticPr fontId="3" type="noConversion"/>
  </si>
  <si>
    <r>
      <t xml:space="preserve">          </t>
    </r>
    <r>
      <rPr>
        <sz val="12"/>
        <rFont val="標楷體"/>
        <family val="4"/>
        <charset val="136"/>
      </rPr>
      <t>以後，月退休金起支年齡均為</t>
    </r>
    <r>
      <rPr>
        <sz val="12"/>
        <rFont val="Times New Roman"/>
        <family val="1"/>
      </rPr>
      <t>6</t>
    </r>
    <r>
      <rPr>
        <sz val="12"/>
        <rFont val="Times New Roman"/>
        <family val="1"/>
      </rPr>
      <t>5</t>
    </r>
    <r>
      <rPr>
        <sz val="12"/>
        <rFont val="標楷體"/>
        <family val="4"/>
        <charset val="136"/>
      </rPr>
      <t>歲。</t>
    </r>
    <phoneticPr fontId="3" type="noConversion"/>
  </si>
  <si>
    <r>
      <rPr>
        <sz val="12"/>
        <rFont val="標楷體"/>
        <family val="4"/>
        <charset val="136"/>
      </rPr>
      <t>註6：具月退休金選擇權，以「任職滿</t>
    </r>
    <r>
      <rPr>
        <sz val="12"/>
        <rFont val="Times New Roman"/>
        <family val="1"/>
      </rPr>
      <t>15</t>
    </r>
    <r>
      <rPr>
        <sz val="12"/>
        <rFont val="標楷體"/>
        <family val="4"/>
        <charset val="136"/>
      </rPr>
      <t>年且年齡滿</t>
    </r>
    <r>
      <rPr>
        <sz val="12"/>
        <rFont val="Times New Roman"/>
        <family val="1"/>
      </rPr>
      <t>50</t>
    </r>
    <r>
      <rPr>
        <sz val="12"/>
        <rFont val="標楷體"/>
        <family val="4"/>
        <charset val="136"/>
      </rPr>
      <t>歲者」為條件，然</t>
    </r>
    <r>
      <rPr>
        <sz val="12"/>
        <rFont val="Times New Roman"/>
        <family val="1"/>
      </rPr>
      <t>106</t>
    </r>
    <r>
      <rPr>
        <sz val="12"/>
        <rFont val="標楷體"/>
        <family val="4"/>
        <charset val="136"/>
      </rPr>
      <t>年</t>
    </r>
    <r>
      <rPr>
        <sz val="12"/>
        <rFont val="Times New Roman"/>
        <family val="1"/>
      </rPr>
      <t>8</t>
    </r>
    <r>
      <rPr>
        <sz val="12"/>
        <rFont val="標楷體"/>
        <family val="4"/>
        <charset val="136"/>
      </rPr>
      <t>月</t>
    </r>
    <r>
      <rPr>
        <sz val="12"/>
        <rFont val="Times New Roman"/>
        <family val="1"/>
      </rPr>
      <t>9</t>
    </r>
    <r>
      <rPr>
        <sz val="12"/>
        <rFont val="標楷體"/>
        <family val="4"/>
        <charset val="136"/>
      </rPr>
      <t>日制定公布</t>
    </r>
    <phoneticPr fontId="3" type="noConversion"/>
  </si>
  <si>
    <r>
      <t xml:space="preserve">          </t>
    </r>
    <r>
      <rPr>
        <sz val="12"/>
        <rFont val="標楷體"/>
        <family val="4"/>
        <charset val="136"/>
      </rPr>
      <t>之公立學校教職員退休資遣撫卹條例，已將月退休金起支年齡延後至</t>
    </r>
    <r>
      <rPr>
        <sz val="12"/>
        <rFont val="Times New Roman"/>
        <family val="1"/>
      </rPr>
      <t>65</t>
    </r>
    <r>
      <rPr>
        <sz val="12"/>
        <rFont val="標楷體"/>
        <family val="4"/>
        <charset val="136"/>
      </rPr>
      <t>歲。另自</t>
    </r>
    <r>
      <rPr>
        <sz val="12"/>
        <rFont val="Times New Roman"/>
        <family val="1"/>
      </rPr>
      <t>107</t>
    </r>
    <r>
      <rPr>
        <sz val="12"/>
        <rFont val="標楷體"/>
        <family val="4"/>
        <charset val="136"/>
      </rPr>
      <t>年至</t>
    </r>
    <phoneticPr fontId="3" type="noConversion"/>
  </si>
  <si>
    <r>
      <t xml:space="preserve">          121</t>
    </r>
    <r>
      <rPr>
        <sz val="12"/>
        <rFont val="標楷體"/>
        <family val="4"/>
        <charset val="136"/>
      </rPr>
      <t>年間設有過渡期間，以年資加年齡之合計數，符合當年法定指標數者為擇領條件，並</t>
    </r>
    <phoneticPr fontId="3" type="noConversion"/>
  </si>
  <si>
    <r>
      <t xml:space="preserve">          </t>
    </r>
    <r>
      <rPr>
        <sz val="12"/>
        <rFont val="標楷體"/>
        <family val="4"/>
        <charset val="136"/>
      </rPr>
      <t>於</t>
    </r>
    <r>
      <rPr>
        <sz val="12"/>
        <rFont val="Times New Roman"/>
        <family val="1"/>
      </rPr>
      <t>122</t>
    </r>
    <r>
      <rPr>
        <sz val="12"/>
        <rFont val="標楷體"/>
        <family val="4"/>
        <charset val="136"/>
      </rPr>
      <t>年以後，月退休金起支年齡均為</t>
    </r>
    <r>
      <rPr>
        <sz val="12"/>
        <rFont val="Times New Roman"/>
        <family val="1"/>
      </rPr>
      <t>65</t>
    </r>
    <r>
      <rPr>
        <sz val="12"/>
        <rFont val="標楷體"/>
        <family val="4"/>
        <charset val="136"/>
      </rPr>
      <t>歲。</t>
    </r>
    <phoneticPr fontId="3" type="noConversion"/>
  </si>
  <si>
    <t>精算評估之基礎</t>
  </si>
  <si>
    <r>
      <t xml:space="preserve">       </t>
    </r>
    <r>
      <rPr>
        <sz val="14"/>
        <rFont val="標楷體"/>
        <family val="4"/>
        <charset val="136"/>
      </rPr>
      <t>針對公務人員退休撫卹基金管理委員會委託辦理基金第七次精算案之民國</t>
    </r>
    <r>
      <rPr>
        <sz val="14"/>
        <rFont val="Times New Roman"/>
        <family val="1"/>
      </rPr>
      <t/>
    </r>
    <phoneticPr fontId="3" type="noConversion"/>
  </si>
  <si>
    <r>
      <t>108</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日為精算基準日之基金淨資產及提撥狀況表，精算評估之基礎分述</t>
    </r>
    <phoneticPr fontId="3" type="noConversion"/>
  </si>
  <si>
    <r>
      <rPr>
        <sz val="14"/>
        <rFont val="標楷體"/>
        <family val="4"/>
        <charset val="136"/>
      </rPr>
      <t>如下：</t>
    </r>
    <phoneticPr fontId="3" type="noConversion"/>
  </si>
  <si>
    <t>1.</t>
    <phoneticPr fontId="3" type="noConversion"/>
  </si>
  <si>
    <r>
      <rPr>
        <sz val="12"/>
        <rFont val="標楷體"/>
        <family val="4"/>
        <charset val="136"/>
      </rPr>
      <t>參加基金人員之分析</t>
    </r>
    <phoneticPr fontId="3" type="noConversion"/>
  </si>
  <si>
    <r>
      <rPr>
        <sz val="12"/>
        <rFont val="標楷體"/>
        <family val="4"/>
        <charset val="136"/>
      </rPr>
      <t>參加基金人員於精算基準日之基本資料如下：</t>
    </r>
    <phoneticPr fontId="3" type="noConversion"/>
  </si>
  <si>
    <r>
      <rPr>
        <sz val="12"/>
        <rFont val="標楷體"/>
        <family val="4"/>
        <charset val="136"/>
      </rPr>
      <t>公務人員</t>
    </r>
    <phoneticPr fontId="3" type="noConversion"/>
  </si>
  <si>
    <r>
      <rPr>
        <sz val="12"/>
        <rFont val="標楷體"/>
        <family val="4"/>
        <charset val="136"/>
      </rPr>
      <t>教育人員</t>
    </r>
    <phoneticPr fontId="3" type="noConversion"/>
  </si>
  <si>
    <r>
      <rPr>
        <sz val="12"/>
        <rFont val="標楷體"/>
        <family val="4"/>
        <charset val="136"/>
      </rPr>
      <t>軍職人員</t>
    </r>
    <phoneticPr fontId="3" type="noConversion"/>
  </si>
  <si>
    <r>
      <rPr>
        <sz val="12"/>
        <rFont val="標楷體"/>
        <family val="4"/>
        <charset val="136"/>
      </rPr>
      <t>政務人員</t>
    </r>
    <phoneticPr fontId="3" type="noConversion"/>
  </si>
  <si>
    <r>
      <rPr>
        <sz val="12"/>
        <rFont val="標楷體"/>
        <family val="4"/>
        <charset val="136"/>
      </rPr>
      <t>人數</t>
    </r>
  </si>
  <si>
    <r>
      <t>24(</t>
    </r>
    <r>
      <rPr>
        <sz val="12"/>
        <rFont val="標楷體"/>
        <family val="4"/>
        <charset val="136"/>
      </rPr>
      <t>註</t>
    </r>
    <r>
      <rPr>
        <sz val="12"/>
        <rFont val="Times New Roman"/>
        <family val="1"/>
      </rPr>
      <t>)</t>
    </r>
    <phoneticPr fontId="3" type="noConversion"/>
  </si>
  <si>
    <r>
      <rPr>
        <sz val="12"/>
        <rFont val="標楷體"/>
        <family val="4"/>
        <charset val="136"/>
      </rPr>
      <t>平均年齡</t>
    </r>
  </si>
  <si>
    <r>
      <rPr>
        <sz val="12"/>
        <rFont val="標楷體"/>
        <family val="4"/>
        <charset val="136"/>
      </rPr>
      <t>平均年資</t>
    </r>
  </si>
  <si>
    <r>
      <rPr>
        <sz val="12"/>
        <rFont val="標楷體"/>
        <family val="4"/>
        <charset val="136"/>
      </rPr>
      <t>平均俸額</t>
    </r>
    <r>
      <rPr>
        <sz val="12"/>
        <rFont val="Times New Roman"/>
        <family val="1"/>
      </rPr>
      <t>(</t>
    </r>
    <r>
      <rPr>
        <sz val="12"/>
        <rFont val="標楷體"/>
        <family val="4"/>
        <charset val="136"/>
      </rPr>
      <t>元</t>
    </r>
    <r>
      <rPr>
        <sz val="12"/>
        <rFont val="Times New Roman"/>
        <family val="1"/>
      </rPr>
      <t>)</t>
    </r>
    <phoneticPr fontId="3" type="noConversion"/>
  </si>
  <si>
    <r>
      <rPr>
        <sz val="11"/>
        <rFont val="標楷體"/>
        <family val="4"/>
        <charset val="136"/>
      </rPr>
      <t>註：政務人員自</t>
    </r>
    <r>
      <rPr>
        <sz val="11"/>
        <rFont val="Times New Roman"/>
        <family val="1"/>
      </rPr>
      <t>93</t>
    </r>
    <r>
      <rPr>
        <sz val="11"/>
        <rFont val="標楷體"/>
        <family val="4"/>
        <charset val="136"/>
      </rPr>
      <t>年</t>
    </r>
    <r>
      <rPr>
        <sz val="11"/>
        <rFont val="Times New Roman"/>
        <family val="1"/>
      </rPr>
      <t>1</t>
    </r>
    <r>
      <rPr>
        <sz val="11"/>
        <rFont val="標楷體"/>
        <family val="4"/>
        <charset val="136"/>
      </rPr>
      <t>月</t>
    </r>
    <r>
      <rPr>
        <sz val="11"/>
        <rFont val="Times New Roman"/>
        <family val="1"/>
      </rPr>
      <t>1</t>
    </r>
    <r>
      <rPr>
        <sz val="11"/>
        <rFont val="標楷體"/>
        <family val="4"/>
        <charset val="136"/>
      </rPr>
      <t>日起依法不再參加退撫基金，在職人員則以</t>
    </r>
    <r>
      <rPr>
        <sz val="11"/>
        <rFont val="Times New Roman"/>
        <family val="1"/>
      </rPr>
      <t>108</t>
    </r>
    <r>
      <rPr>
        <sz val="11"/>
        <rFont val="標楷體"/>
        <family val="4"/>
        <charset val="136"/>
      </rPr>
      <t>年</t>
    </r>
    <r>
      <rPr>
        <sz val="11"/>
        <rFont val="Times New Roman"/>
        <family val="1"/>
      </rPr>
      <t>12</t>
    </r>
    <r>
      <rPr>
        <sz val="11"/>
        <rFont val="標楷體"/>
        <family val="4"/>
        <charset val="136"/>
      </rPr>
      <t>月</t>
    </r>
    <r>
      <rPr>
        <sz val="11"/>
        <rFont val="Times New Roman"/>
        <family val="1"/>
      </rPr>
      <t>31</t>
    </r>
    <r>
      <rPr>
        <sz val="11"/>
        <rFont val="標楷體"/>
        <family val="4"/>
        <charset val="136"/>
      </rPr>
      <t>日為基準日，統計</t>
    </r>
    <phoneticPr fontId="3" type="noConversion"/>
  </si>
  <si>
    <r>
      <rPr>
        <sz val="11"/>
        <rFont val="標楷體"/>
        <family val="4"/>
        <charset val="136"/>
      </rPr>
      <t>　　</t>
    </r>
    <r>
      <rPr>
        <sz val="11"/>
        <rFont val="Times New Roman"/>
        <family val="1"/>
      </rPr>
      <t xml:space="preserve">   92</t>
    </r>
    <r>
      <rPr>
        <sz val="11"/>
        <rFont val="標楷體"/>
        <family val="4"/>
        <charset val="136"/>
      </rPr>
      <t>年</t>
    </r>
    <r>
      <rPr>
        <sz val="11"/>
        <rFont val="Times New Roman"/>
        <family val="1"/>
      </rPr>
      <t>12</t>
    </r>
    <r>
      <rPr>
        <sz val="11"/>
        <rFont val="標楷體"/>
        <family val="4"/>
        <charset val="136"/>
      </rPr>
      <t>月</t>
    </r>
    <r>
      <rPr>
        <sz val="11"/>
        <rFont val="Times New Roman"/>
        <family val="1"/>
      </rPr>
      <t>31</t>
    </r>
    <r>
      <rPr>
        <sz val="11"/>
        <rFont val="標楷體"/>
        <family val="4"/>
        <charset val="136"/>
      </rPr>
      <t>日前參加退撫基金，而尚未領取退職金或離職退費之人員。</t>
    </r>
    <phoneticPr fontId="3" type="noConversion"/>
  </si>
  <si>
    <t>2.</t>
    <phoneticPr fontId="3" type="noConversion"/>
  </si>
  <si>
    <r>
      <rPr>
        <sz val="12"/>
        <rFont val="標楷體"/>
        <family val="4"/>
        <charset val="136"/>
      </rPr>
      <t>精算評估之假設</t>
    </r>
    <phoneticPr fontId="3" type="noConversion"/>
  </si>
  <si>
    <t>精算評估之假設係依基金第七次精算案於精算評估報告書之精算假設，重要假設彙整如下：</t>
    <phoneticPr fontId="3" type="noConversion"/>
  </si>
  <si>
    <r>
      <rPr>
        <sz val="12"/>
        <rFont val="標楷體"/>
        <family val="4"/>
        <charset val="136"/>
      </rPr>
      <t>折現率</t>
    </r>
  </si>
  <si>
    <r>
      <rPr>
        <sz val="12"/>
        <rFont val="標楷體"/>
        <family val="4"/>
        <charset val="136"/>
      </rPr>
      <t>通膨相關調薪率</t>
    </r>
    <phoneticPr fontId="3" type="noConversion"/>
  </si>
  <si>
    <r>
      <rPr>
        <sz val="12"/>
        <rFont val="標楷體"/>
        <family val="4"/>
        <charset val="136"/>
      </rPr>
      <t>職級變動產生之俸點增加數</t>
    </r>
    <phoneticPr fontId="3" type="noConversion"/>
  </si>
  <si>
    <r>
      <rPr>
        <sz val="12"/>
        <rFont val="標楷體"/>
        <family val="4"/>
        <charset val="136"/>
      </rPr>
      <t>採平均俸點增加數</t>
    </r>
    <phoneticPr fontId="3" type="noConversion"/>
  </si>
  <si>
    <r>
      <rPr>
        <sz val="12"/>
        <rFont val="標楷體"/>
        <family val="4"/>
        <charset val="136"/>
      </rPr>
      <t>採有職級俸點上限
之平均俸點增加數</t>
    </r>
    <phoneticPr fontId="3" type="noConversion"/>
  </si>
  <si>
    <r>
      <rPr>
        <sz val="12"/>
        <rFont val="標楷體"/>
        <family val="4"/>
        <charset val="136"/>
      </rPr>
      <t>不變</t>
    </r>
    <phoneticPr fontId="3" type="noConversion"/>
  </si>
  <si>
    <r>
      <rPr>
        <sz val="12"/>
        <rFont val="標楷體"/>
        <family val="4"/>
        <charset val="136"/>
      </rPr>
      <t>月退選擇比例</t>
    </r>
  </si>
  <si>
    <t>月退後死亡選擇遺屬一次金比例</t>
    <phoneticPr fontId="3" type="noConversion"/>
  </si>
  <si>
    <r>
      <t>月撫卹金給與年限</t>
    </r>
    <r>
      <rPr>
        <sz val="10"/>
        <rFont val="標楷體"/>
        <family val="4"/>
        <charset val="136"/>
      </rPr>
      <t>(註)</t>
    </r>
    <phoneticPr fontId="3" type="noConversion"/>
  </si>
  <si>
    <r>
      <t>12</t>
    </r>
    <r>
      <rPr>
        <sz val="12"/>
        <rFont val="標楷體"/>
        <family val="4"/>
        <charset val="136"/>
      </rPr>
      <t>年</t>
    </r>
    <phoneticPr fontId="3" type="noConversion"/>
  </si>
  <si>
    <r>
      <t>11</t>
    </r>
    <r>
      <rPr>
        <sz val="12"/>
        <rFont val="標楷體"/>
        <family val="4"/>
        <charset val="136"/>
      </rPr>
      <t>年</t>
    </r>
    <phoneticPr fontId="3" type="noConversion"/>
  </si>
  <si>
    <r>
      <t>24</t>
    </r>
    <r>
      <rPr>
        <sz val="12"/>
        <rFont val="標楷體"/>
        <family val="4"/>
        <charset val="136"/>
      </rPr>
      <t>年</t>
    </r>
    <phoneticPr fontId="3" type="noConversion"/>
  </si>
  <si>
    <r>
      <t>15</t>
    </r>
    <r>
      <rPr>
        <sz val="12"/>
        <rFont val="標楷體"/>
        <family val="4"/>
        <charset val="136"/>
      </rPr>
      <t>年</t>
    </r>
    <phoneticPr fontId="3" type="noConversion"/>
  </si>
  <si>
    <r>
      <rPr>
        <sz val="12"/>
        <rFont val="標楷體"/>
        <family val="4"/>
        <charset val="136"/>
      </rPr>
      <t>離職率</t>
    </r>
  </si>
  <si>
    <r>
      <t xml:space="preserve">      </t>
    </r>
    <r>
      <rPr>
        <sz val="12"/>
        <rFont val="標楷體"/>
        <family val="4"/>
        <charset val="136"/>
      </rPr>
      <t>如附表</t>
    </r>
    <r>
      <rPr>
        <sz val="12"/>
        <rFont val="Times New Roman"/>
        <family val="1"/>
      </rPr>
      <t>1</t>
    </r>
    <phoneticPr fontId="3" type="noConversion"/>
  </si>
  <si>
    <r>
      <rPr>
        <sz val="12"/>
        <rFont val="標楷體"/>
        <family val="4"/>
        <charset val="136"/>
      </rPr>
      <t>資遣率</t>
    </r>
  </si>
  <si>
    <r>
      <t xml:space="preserve">      </t>
    </r>
    <r>
      <rPr>
        <sz val="12"/>
        <rFont val="標楷體"/>
        <family val="4"/>
        <charset val="136"/>
      </rPr>
      <t>如附表</t>
    </r>
    <r>
      <rPr>
        <sz val="12"/>
        <rFont val="Times New Roman"/>
        <family val="1"/>
      </rPr>
      <t>2</t>
    </r>
    <phoneticPr fontId="3" type="noConversion"/>
  </si>
  <si>
    <r>
      <rPr>
        <sz val="12"/>
        <rFont val="標楷體"/>
        <family val="4"/>
        <charset val="136"/>
      </rPr>
      <t>退休</t>
    </r>
    <r>
      <rPr>
        <sz val="12"/>
        <rFont val="Times New Roman"/>
        <family val="1"/>
      </rPr>
      <t>(</t>
    </r>
    <r>
      <rPr>
        <sz val="12"/>
        <rFont val="標楷體"/>
        <family val="4"/>
        <charset val="136"/>
      </rPr>
      <t>伍</t>
    </r>
    <r>
      <rPr>
        <sz val="12"/>
        <rFont val="Times New Roman"/>
        <family val="1"/>
      </rPr>
      <t>)</t>
    </r>
    <r>
      <rPr>
        <sz val="12"/>
        <rFont val="標楷體"/>
        <family val="4"/>
        <charset val="136"/>
      </rPr>
      <t>率</t>
    </r>
    <phoneticPr fontId="3" type="noConversion"/>
  </si>
  <si>
    <r>
      <rPr>
        <sz val="12"/>
        <rFont val="標楷體"/>
        <family val="4"/>
        <charset val="136"/>
      </rPr>
      <t>依經驗值，反應</t>
    </r>
    <r>
      <rPr>
        <sz val="12"/>
        <rFont val="Times New Roman"/>
        <family val="1"/>
      </rPr>
      <t>75</t>
    </r>
    <r>
      <rPr>
        <sz val="12"/>
        <rFont val="標楷體"/>
        <family val="4"/>
        <charset val="136"/>
      </rPr>
      <t>制逐年調整至</t>
    </r>
    <r>
      <rPr>
        <sz val="12"/>
        <rFont val="Times New Roman"/>
        <family val="1"/>
      </rPr>
      <t>95</t>
    </r>
    <r>
      <rPr>
        <sz val="12"/>
        <rFont val="標楷體"/>
        <family val="4"/>
        <charset val="136"/>
      </rPr>
      <t xml:space="preserve">制。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</si>
  <si>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依經驗值，反應</t>
    </r>
    <r>
      <rPr>
        <sz val="12"/>
        <rFont val="Times New Roman"/>
        <family val="1"/>
      </rPr>
      <t>75</t>
    </r>
    <r>
      <rPr>
        <sz val="12"/>
        <rFont val="標楷體"/>
        <family val="4"/>
        <charset val="136"/>
      </rPr>
      <t>制逐年調整至</t>
    </r>
    <r>
      <rPr>
        <sz val="12"/>
        <rFont val="Times New Roman"/>
        <family val="1"/>
      </rPr>
      <t>90</t>
    </r>
    <r>
      <rPr>
        <sz val="12"/>
        <rFont val="標楷體"/>
        <family val="4"/>
        <charset val="136"/>
      </rPr>
      <t xml:space="preserve">制。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</si>
  <si>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 xml:space="preserve">依經驗值，軍官及士官採年齡退伍假設。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</si>
  <si>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 xml:space="preserve">依經驗值
</t>
    </r>
    <r>
      <rPr>
        <sz val="12"/>
        <rFont val="Times New Roman"/>
        <family val="1"/>
      </rPr>
      <t>(</t>
    </r>
    <r>
      <rPr>
        <sz val="12"/>
        <rFont val="標楷體"/>
        <family val="4"/>
        <charset val="136"/>
      </rPr>
      <t>詳附表</t>
    </r>
    <r>
      <rPr>
        <sz val="12"/>
        <rFont val="Times New Roman"/>
        <family val="1"/>
      </rPr>
      <t xml:space="preserve">3-1)
</t>
    </r>
    <phoneticPr fontId="3" type="noConversion"/>
  </si>
  <si>
    <r>
      <rPr>
        <sz val="12"/>
        <rFont val="標楷體"/>
        <family val="4"/>
        <charset val="136"/>
      </rPr>
      <t xml:space="preserve">但士兵採年資退伍假設。
</t>
    </r>
    <r>
      <rPr>
        <sz val="12"/>
        <rFont val="Times New Roman"/>
        <family val="1"/>
      </rPr>
      <t>(</t>
    </r>
    <r>
      <rPr>
        <sz val="12"/>
        <rFont val="標楷體"/>
        <family val="4"/>
        <charset val="136"/>
      </rPr>
      <t>詳附表</t>
    </r>
    <r>
      <rPr>
        <sz val="12"/>
        <rFont val="Times New Roman"/>
        <family val="1"/>
      </rPr>
      <t>3-2)</t>
    </r>
    <phoneticPr fontId="3" type="noConversion"/>
  </si>
  <si>
    <r>
      <rPr>
        <sz val="12"/>
        <rFont val="標楷體"/>
        <family val="4"/>
        <charset val="136"/>
      </rPr>
      <t>依22</t>
    </r>
    <r>
      <rPr>
        <sz val="12"/>
        <rFont val="Times New Roman"/>
        <family val="1"/>
      </rPr>
      <t>.5</t>
    </r>
    <r>
      <rPr>
        <sz val="12"/>
        <rFont val="標楷體"/>
        <family val="4"/>
        <charset val="136"/>
      </rPr>
      <t>年累積經驗值修勻</t>
    </r>
    <phoneticPr fontId="3" type="noConversion"/>
  </si>
  <si>
    <r>
      <rPr>
        <sz val="12"/>
        <rFont val="標楷體"/>
        <family val="4"/>
        <charset val="136"/>
      </rPr>
      <t>依21年</t>
    </r>
    <r>
      <rPr>
        <sz val="12"/>
        <rFont val="Times New Roman"/>
        <family val="1"/>
      </rPr>
      <t>11</t>
    </r>
    <r>
      <rPr>
        <sz val="12"/>
        <rFont val="標楷體"/>
        <family val="4"/>
        <charset val="136"/>
      </rPr>
      <t>個月累積經驗值修勻</t>
    </r>
    <phoneticPr fontId="3" type="noConversion"/>
  </si>
  <si>
    <r>
      <rPr>
        <sz val="12"/>
        <rFont val="標楷體"/>
        <family val="4"/>
        <charset val="136"/>
      </rPr>
      <t>男</t>
    </r>
    <r>
      <rPr>
        <sz val="12"/>
        <rFont val="Times New Roman"/>
        <family val="1"/>
      </rPr>
      <t>:</t>
    </r>
    <r>
      <rPr>
        <sz val="12"/>
        <rFont val="標楷體"/>
        <family val="4"/>
        <charset val="136"/>
      </rPr>
      <t>依21年累積經驗值修勻
女</t>
    </r>
    <r>
      <rPr>
        <sz val="12"/>
        <rFont val="Times New Roman"/>
        <family val="1"/>
      </rPr>
      <t>:</t>
    </r>
    <r>
      <rPr>
        <sz val="12"/>
        <rFont val="標楷體"/>
        <family val="4"/>
        <charset val="136"/>
      </rPr>
      <t>同公務人員</t>
    </r>
    <phoneticPr fontId="3" type="noConversion"/>
  </si>
  <si>
    <r>
      <rPr>
        <sz val="12"/>
        <rFont val="標楷體"/>
        <family val="4"/>
        <charset val="136"/>
      </rPr>
      <t>同公務人員</t>
    </r>
    <phoneticPr fontId="3" type="noConversion"/>
  </si>
  <si>
    <r>
      <rPr>
        <sz val="12"/>
        <rFont val="標楷體"/>
        <family val="4"/>
        <charset val="136"/>
      </rPr>
      <t>死亡率</t>
    </r>
  </si>
  <si>
    <r>
      <rPr>
        <sz val="12"/>
        <rFont val="標楷體"/>
        <family val="4"/>
        <charset val="136"/>
      </rPr>
      <t>男﹕</t>
    </r>
    <r>
      <rPr>
        <sz val="12"/>
        <rFont val="Times New Roman"/>
        <family val="1"/>
      </rPr>
      <t>50-100%</t>
    </r>
    <phoneticPr fontId="3" type="noConversion"/>
  </si>
  <si>
    <r>
      <rPr>
        <sz val="12"/>
        <rFont val="標楷體"/>
        <family val="4"/>
        <charset val="136"/>
      </rPr>
      <t>男﹕</t>
    </r>
    <r>
      <rPr>
        <sz val="12"/>
        <rFont val="Times New Roman"/>
        <family val="1"/>
      </rPr>
      <t>60-100%</t>
    </r>
    <phoneticPr fontId="3" type="noConversion"/>
  </si>
  <si>
    <r>
      <rPr>
        <sz val="12"/>
        <rFont val="標楷體"/>
        <family val="4"/>
        <charset val="136"/>
      </rPr>
      <t>女：</t>
    </r>
    <r>
      <rPr>
        <sz val="12"/>
        <rFont val="Times New Roman"/>
        <family val="1"/>
      </rPr>
      <t>50-100%</t>
    </r>
    <phoneticPr fontId="3" type="noConversion"/>
  </si>
  <si>
    <r>
      <rPr>
        <sz val="12"/>
        <rFont val="標楷體"/>
        <family val="4"/>
        <charset val="136"/>
      </rPr>
      <t>女：</t>
    </r>
    <r>
      <rPr>
        <sz val="12"/>
        <rFont val="Times New Roman"/>
        <family val="1"/>
      </rPr>
      <t>60-100%</t>
    </r>
    <phoneticPr fontId="3" type="noConversion"/>
  </si>
  <si>
    <t>註：軍職人員仍維持年撫卹金給付方式。</t>
    <phoneticPr fontId="3" type="noConversion"/>
  </si>
  <si>
    <t>3.</t>
    <phoneticPr fontId="3" type="noConversion"/>
  </si>
  <si>
    <r>
      <rPr>
        <sz val="12"/>
        <rFont val="標楷體"/>
        <family val="4"/>
        <charset val="136"/>
      </rPr>
      <t>精算評估之方法</t>
    </r>
    <phoneticPr fontId="3" type="noConversion"/>
  </si>
  <si>
    <t>係採加入年齡精算成本法評價。</t>
    <phoneticPr fontId="3" type="noConversion"/>
  </si>
  <si>
    <r>
      <rPr>
        <sz val="12"/>
        <rFont val="標楷體"/>
        <family val="4"/>
        <charset val="136"/>
      </rPr>
      <t>附表</t>
    </r>
    <r>
      <rPr>
        <sz val="12"/>
        <rFont val="Times New Roman"/>
        <family val="1"/>
      </rPr>
      <t xml:space="preserve">1  </t>
    </r>
    <r>
      <rPr>
        <sz val="12"/>
        <rFont val="標楷體"/>
        <family val="4"/>
        <charset val="136"/>
      </rPr>
      <t>離職率</t>
    </r>
    <phoneticPr fontId="3" type="noConversion"/>
  </si>
  <si>
    <r>
      <rPr>
        <sz val="12"/>
        <rFont val="標楷體"/>
        <family val="4"/>
        <charset val="136"/>
      </rPr>
      <t>單位</t>
    </r>
    <r>
      <rPr>
        <sz val="12"/>
        <rFont val="Times New Roman"/>
        <family val="1"/>
      </rPr>
      <t>:‰</t>
    </r>
    <phoneticPr fontId="3" type="noConversion"/>
  </si>
  <si>
    <r>
      <rPr>
        <sz val="12"/>
        <rFont val="標楷體"/>
        <family val="4"/>
        <charset val="136"/>
      </rPr>
      <t>年齡</t>
    </r>
    <phoneticPr fontId="3" type="noConversion"/>
  </si>
  <si>
    <r>
      <rPr>
        <sz val="12"/>
        <rFont val="標楷體"/>
        <family val="4"/>
        <charset val="136"/>
      </rPr>
      <t>男性</t>
    </r>
    <phoneticPr fontId="3" type="noConversion"/>
  </si>
  <si>
    <r>
      <rPr>
        <sz val="12"/>
        <rFont val="標楷體"/>
        <family val="4"/>
        <charset val="136"/>
      </rPr>
      <t>女性</t>
    </r>
    <phoneticPr fontId="3" type="noConversion"/>
  </si>
  <si>
    <t>20-24</t>
  </si>
  <si>
    <t>25-29</t>
  </si>
  <si>
    <t>30-34</t>
  </si>
  <si>
    <t>35-39</t>
  </si>
  <si>
    <t>40-44</t>
  </si>
  <si>
    <t>45-49</t>
  </si>
  <si>
    <t>50-54</t>
  </si>
  <si>
    <t>55-59</t>
  </si>
  <si>
    <t>60-64</t>
  </si>
  <si>
    <t>65-69</t>
    <phoneticPr fontId="3" type="noConversion"/>
  </si>
  <si>
    <t>70-74</t>
    <phoneticPr fontId="3" type="noConversion"/>
  </si>
  <si>
    <r>
      <rPr>
        <sz val="12"/>
        <rFont val="標楷體"/>
        <family val="4"/>
        <charset val="136"/>
      </rPr>
      <t>附表</t>
    </r>
    <r>
      <rPr>
        <sz val="12"/>
        <rFont val="Times New Roman"/>
        <family val="1"/>
      </rPr>
      <t xml:space="preserve">2  </t>
    </r>
    <r>
      <rPr>
        <sz val="12"/>
        <rFont val="標楷體"/>
        <family val="4"/>
        <charset val="136"/>
      </rPr>
      <t>資遣率</t>
    </r>
    <phoneticPr fontId="3" type="noConversion"/>
  </si>
  <si>
    <r>
      <rPr>
        <sz val="12"/>
        <rFont val="標楷體"/>
        <family val="4"/>
        <charset val="136"/>
      </rPr>
      <t>附表</t>
    </r>
    <r>
      <rPr>
        <sz val="12"/>
        <rFont val="Times New Roman"/>
        <family val="1"/>
      </rPr>
      <t xml:space="preserve">3-1  </t>
    </r>
    <r>
      <rPr>
        <sz val="12"/>
        <rFont val="標楷體"/>
        <family val="4"/>
        <charset val="136"/>
      </rPr>
      <t>退休</t>
    </r>
    <r>
      <rPr>
        <sz val="12"/>
        <rFont val="Times New Roman"/>
        <family val="1"/>
      </rPr>
      <t>(</t>
    </r>
    <r>
      <rPr>
        <sz val="12"/>
        <rFont val="標楷體"/>
        <family val="4"/>
        <charset val="136"/>
      </rPr>
      <t>伍</t>
    </r>
    <r>
      <rPr>
        <sz val="12"/>
        <rFont val="Times New Roman"/>
        <family val="1"/>
      </rPr>
      <t>)</t>
    </r>
    <r>
      <rPr>
        <sz val="12"/>
        <rFont val="標楷體"/>
        <family val="4"/>
        <charset val="136"/>
      </rPr>
      <t>率</t>
    </r>
    <phoneticPr fontId="3" type="noConversion"/>
  </si>
  <si>
    <r>
      <rPr>
        <sz val="12"/>
        <rFont val="標楷體"/>
        <family val="4"/>
        <charset val="136"/>
      </rPr>
      <t>公務人員</t>
    </r>
    <r>
      <rPr>
        <sz val="12"/>
        <rFont val="Times New Roman"/>
        <family val="1"/>
      </rPr>
      <t/>
    </r>
    <phoneticPr fontId="3" type="noConversion"/>
  </si>
  <si>
    <t>年齡</t>
  </si>
  <si>
    <t>軍職人員</t>
  </si>
  <si>
    <r>
      <t>109</t>
    </r>
    <r>
      <rPr>
        <sz val="12"/>
        <rFont val="標楷體"/>
        <family val="4"/>
        <charset val="136"/>
      </rPr>
      <t>年前</t>
    </r>
    <phoneticPr fontId="3" type="noConversion"/>
  </si>
  <si>
    <r>
      <t>110</t>
    </r>
    <r>
      <rPr>
        <sz val="12"/>
        <rFont val="標楷體"/>
        <family val="4"/>
        <charset val="136"/>
      </rPr>
      <t>年後</t>
    </r>
    <phoneticPr fontId="3" type="noConversion"/>
  </si>
  <si>
    <r>
      <t>115</t>
    </r>
    <r>
      <rPr>
        <sz val="12"/>
        <rFont val="標楷體"/>
        <family val="4"/>
        <charset val="136"/>
      </rPr>
      <t>年後</t>
    </r>
    <phoneticPr fontId="3" type="noConversion"/>
  </si>
  <si>
    <r>
      <t>115</t>
    </r>
    <r>
      <rPr>
        <sz val="12"/>
        <rFont val="標楷體"/>
        <family val="4"/>
        <charset val="136"/>
      </rPr>
      <t>年前</t>
    </r>
    <phoneticPr fontId="3" type="noConversion"/>
  </si>
  <si>
    <r>
      <t>116</t>
    </r>
    <r>
      <rPr>
        <sz val="12"/>
        <rFont val="標楷體"/>
        <family val="4"/>
        <charset val="136"/>
      </rPr>
      <t>年後</t>
    </r>
    <phoneticPr fontId="3" type="noConversion"/>
  </si>
  <si>
    <r>
      <t>122</t>
    </r>
    <r>
      <rPr>
        <sz val="12"/>
        <rFont val="標楷體"/>
        <family val="4"/>
        <charset val="136"/>
      </rPr>
      <t>年後</t>
    </r>
    <phoneticPr fontId="3" type="noConversion"/>
  </si>
  <si>
    <t>軍官</t>
  </si>
  <si>
    <t>士官</t>
  </si>
  <si>
    <r>
      <rPr>
        <sz val="12"/>
        <rFont val="標楷體"/>
        <family val="4"/>
        <charset val="136"/>
      </rPr>
      <t>附表</t>
    </r>
    <r>
      <rPr>
        <sz val="12"/>
        <rFont val="Times New Roman"/>
        <family val="1"/>
      </rPr>
      <t xml:space="preserve">3-2  </t>
    </r>
    <r>
      <rPr>
        <sz val="12"/>
        <rFont val="標楷體"/>
        <family val="4"/>
        <charset val="136"/>
      </rPr>
      <t>士兵退伍率及晉任率假設</t>
    </r>
    <phoneticPr fontId="3" type="noConversion"/>
  </si>
  <si>
    <r>
      <rPr>
        <sz val="12"/>
        <rFont val="標楷體"/>
        <family val="4"/>
        <charset val="136"/>
      </rPr>
      <t>服務年資</t>
    </r>
    <phoneticPr fontId="3" type="noConversion"/>
  </si>
  <si>
    <r>
      <rPr>
        <sz val="12"/>
        <rFont val="標楷體"/>
        <family val="4"/>
        <charset val="136"/>
      </rPr>
      <t>退伍</t>
    </r>
    <phoneticPr fontId="3" type="noConversion"/>
  </si>
  <si>
    <r>
      <rPr>
        <sz val="12"/>
        <rFont val="標楷體"/>
        <family val="4"/>
        <charset val="136"/>
      </rPr>
      <t>晉任士官</t>
    </r>
    <phoneticPr fontId="3" type="noConversion"/>
  </si>
  <si>
    <t>0%</t>
  </si>
  <si>
    <t>15%</t>
  </si>
  <si>
    <t>20%</t>
  </si>
  <si>
    <t>10%</t>
  </si>
  <si>
    <t>70%</t>
  </si>
  <si>
    <t>75%</t>
  </si>
  <si>
    <t>5%</t>
  </si>
  <si>
    <t>80%</t>
  </si>
  <si>
    <t>85%</t>
  </si>
  <si>
    <t>90%</t>
  </si>
  <si>
    <t>95%</t>
  </si>
  <si>
    <t>100%</t>
  </si>
  <si>
    <t>附錄4  最近10年基金管理會行政經費預決算</t>
    <phoneticPr fontId="3" type="noConversion"/>
  </si>
  <si>
    <r>
      <t xml:space="preserve">                                  </t>
    </r>
    <r>
      <rPr>
        <sz val="12"/>
        <rFont val="標楷體"/>
        <family val="4"/>
        <charset val="136"/>
      </rPr>
      <t>中華民國99年至108年</t>
    </r>
    <r>
      <rPr>
        <sz val="10"/>
        <rFont val="標楷體"/>
        <family val="4"/>
        <charset val="136"/>
      </rPr>
      <t xml:space="preserve">                      單位：新臺幣千元                                                 </t>
    </r>
    <phoneticPr fontId="3" type="noConversion"/>
  </si>
  <si>
    <t>92年度</t>
    <phoneticPr fontId="3" type="noConversion"/>
  </si>
  <si>
    <r>
      <t>98</t>
    </r>
    <r>
      <rPr>
        <sz val="12"/>
        <rFont val="標楷體"/>
        <family val="4"/>
        <charset val="136"/>
      </rPr>
      <t>年</t>
    </r>
  </si>
  <si>
    <r>
      <t>105</t>
    </r>
    <r>
      <rPr>
        <sz val="12"/>
        <rFont val="標楷體"/>
        <family val="4"/>
        <charset val="136"/>
      </rPr>
      <t>年</t>
    </r>
    <phoneticPr fontId="3" type="noConversion"/>
  </si>
  <si>
    <t>附錄5  最近10年基金管理會員額配置</t>
    <phoneticPr fontId="3" type="noConversion"/>
  </si>
  <si>
    <r>
      <t xml:space="preserve">                                    </t>
    </r>
    <r>
      <rPr>
        <sz val="12"/>
        <rFont val="標楷體"/>
        <family val="4"/>
        <charset val="136"/>
      </rPr>
      <t xml:space="preserve">中華民國99年至108年 </t>
    </r>
    <r>
      <rPr>
        <sz val="10"/>
        <rFont val="標楷體"/>
        <family val="4"/>
        <charset val="136"/>
      </rPr>
      <t xml:space="preserve">                      單位：人                                                 </t>
    </r>
    <phoneticPr fontId="3" type="noConversion"/>
  </si>
  <si>
    <t>編制員額</t>
    <phoneticPr fontId="3" type="noConversion"/>
  </si>
  <si>
    <t>預算員額</t>
    <phoneticPr fontId="3" type="noConversion"/>
  </si>
  <si>
    <t>實有人數</t>
    <phoneticPr fontId="3" type="noConversion"/>
  </si>
  <si>
    <r>
      <t>103</t>
    </r>
    <r>
      <rPr>
        <sz val="12"/>
        <rFont val="標楷體"/>
        <family val="4"/>
        <charset val="136"/>
      </rPr>
      <t>年</t>
    </r>
  </si>
  <si>
    <t>附錄6  基金管理會正式職員教育程度</t>
    <phoneticPr fontId="3" type="noConversion"/>
  </si>
  <si>
    <r>
      <t xml:space="preserve">                                       </t>
    </r>
    <r>
      <rPr>
        <sz val="12"/>
        <rFont val="標楷體"/>
        <family val="4"/>
        <charset val="136"/>
      </rPr>
      <t xml:space="preserve">中華民國108年底       </t>
    </r>
    <r>
      <rPr>
        <sz val="10"/>
        <rFont val="標楷體"/>
        <family val="4"/>
        <charset val="136"/>
      </rPr>
      <t xml:space="preserve">                   單位：人                                                 </t>
    </r>
    <phoneticPr fontId="3" type="noConversion"/>
  </si>
  <si>
    <t>性別</t>
    <phoneticPr fontId="3" type="noConversion"/>
  </si>
  <si>
    <t>教育程度</t>
    <phoneticPr fontId="3" type="noConversion"/>
  </si>
  <si>
    <t>男</t>
    <phoneticPr fontId="3" type="noConversion"/>
  </si>
  <si>
    <t>女</t>
    <phoneticPr fontId="3" type="noConversion"/>
  </si>
  <si>
    <t>博士</t>
    <phoneticPr fontId="3" type="noConversion"/>
  </si>
  <si>
    <t>碩士</t>
    <phoneticPr fontId="3" type="noConversion"/>
  </si>
  <si>
    <t>大學畢業</t>
    <phoneticPr fontId="3" type="noConversion"/>
  </si>
  <si>
    <t>專科畢業</t>
    <phoneticPr fontId="3" type="noConversion"/>
  </si>
  <si>
    <t>高中高職以下</t>
    <phoneticPr fontId="3" type="noConversion"/>
  </si>
  <si>
    <t>簡任(派)</t>
    <phoneticPr fontId="3" type="noConversion"/>
  </si>
  <si>
    <t>薦任(派)</t>
    <phoneticPr fontId="3" type="noConversion"/>
  </si>
  <si>
    <t>委任(派)</t>
    <phoneticPr fontId="3" type="noConversion"/>
  </si>
  <si>
    <r>
      <t>91年</t>
    </r>
    <r>
      <rPr>
        <sz val="11"/>
        <rFont val="Times New Roman"/>
        <family val="1"/>
      </rPr>
      <t>1</t>
    </r>
    <r>
      <rPr>
        <sz val="11"/>
        <rFont val="標楷體"/>
        <family val="4"/>
        <charset val="136"/>
      </rPr>
      <t>月</t>
    </r>
    <phoneticPr fontId="3" type="noConversion"/>
  </si>
  <si>
    <r>
      <t>2</t>
    </r>
    <r>
      <rPr>
        <sz val="11"/>
        <rFont val="標楷體"/>
        <family val="4"/>
        <charset val="136"/>
      </rPr>
      <t>月</t>
    </r>
    <phoneticPr fontId="3" type="noConversion"/>
  </si>
  <si>
    <r>
      <t>3</t>
    </r>
    <r>
      <rPr>
        <sz val="11"/>
        <rFont val="細明體"/>
        <family val="3"/>
        <charset val="136"/>
      </rPr>
      <t>月</t>
    </r>
    <r>
      <rPr>
        <sz val="12"/>
        <rFont val="標楷體"/>
        <family val="4"/>
        <charset val="136"/>
      </rPr>
      <t/>
    </r>
  </si>
  <si>
    <r>
      <t>4</t>
    </r>
    <r>
      <rPr>
        <sz val="11"/>
        <rFont val="細明體"/>
        <family val="3"/>
        <charset val="136"/>
      </rPr>
      <t>月</t>
    </r>
    <r>
      <rPr>
        <sz val="12"/>
        <rFont val="標楷體"/>
        <family val="4"/>
        <charset val="136"/>
      </rPr>
      <t/>
    </r>
  </si>
  <si>
    <r>
      <t>5</t>
    </r>
    <r>
      <rPr>
        <sz val="11"/>
        <rFont val="細明體"/>
        <family val="3"/>
        <charset val="136"/>
      </rPr>
      <t>月</t>
    </r>
    <r>
      <rPr>
        <sz val="12"/>
        <rFont val="標楷體"/>
        <family val="4"/>
        <charset val="136"/>
      </rPr>
      <t/>
    </r>
  </si>
  <si>
    <r>
      <t>6</t>
    </r>
    <r>
      <rPr>
        <sz val="11"/>
        <rFont val="細明體"/>
        <family val="3"/>
        <charset val="136"/>
      </rPr>
      <t>月</t>
    </r>
    <r>
      <rPr>
        <sz val="12"/>
        <rFont val="標楷體"/>
        <family val="4"/>
        <charset val="136"/>
      </rPr>
      <t/>
    </r>
  </si>
  <si>
    <r>
      <t>7</t>
    </r>
    <r>
      <rPr>
        <sz val="11"/>
        <rFont val="細明體"/>
        <family val="3"/>
        <charset val="136"/>
      </rPr>
      <t>月</t>
    </r>
    <r>
      <rPr>
        <sz val="12"/>
        <rFont val="標楷體"/>
        <family val="4"/>
        <charset val="136"/>
      </rPr>
      <t/>
    </r>
  </si>
  <si>
    <r>
      <t>8</t>
    </r>
    <r>
      <rPr>
        <sz val="11"/>
        <rFont val="細明體"/>
        <family val="3"/>
        <charset val="136"/>
      </rPr>
      <t>月</t>
    </r>
    <r>
      <rPr>
        <sz val="12"/>
        <rFont val="標楷體"/>
        <family val="4"/>
        <charset val="136"/>
      </rPr>
      <t/>
    </r>
  </si>
  <si>
    <r>
      <t>9</t>
    </r>
    <r>
      <rPr>
        <sz val="11"/>
        <rFont val="細明體"/>
        <family val="3"/>
        <charset val="136"/>
      </rPr>
      <t>月</t>
    </r>
    <r>
      <rPr>
        <sz val="12"/>
        <rFont val="標楷體"/>
        <family val="4"/>
        <charset val="136"/>
      </rPr>
      <t/>
    </r>
  </si>
  <si>
    <r>
      <t>10</t>
    </r>
    <r>
      <rPr>
        <sz val="11"/>
        <rFont val="細明體"/>
        <family val="3"/>
        <charset val="136"/>
      </rPr>
      <t>月</t>
    </r>
    <r>
      <rPr>
        <sz val="12"/>
        <rFont val="標楷體"/>
        <family val="4"/>
        <charset val="136"/>
      </rPr>
      <t/>
    </r>
  </si>
  <si>
    <r>
      <t>11</t>
    </r>
    <r>
      <rPr>
        <sz val="11"/>
        <rFont val="細明體"/>
        <family val="3"/>
        <charset val="136"/>
      </rPr>
      <t>月</t>
    </r>
    <r>
      <rPr>
        <sz val="12"/>
        <rFont val="標楷體"/>
        <family val="4"/>
        <charset val="136"/>
      </rPr>
      <t/>
    </r>
  </si>
  <si>
    <r>
      <t>12</t>
    </r>
    <r>
      <rPr>
        <sz val="11"/>
        <rFont val="細明體"/>
        <family val="3"/>
        <charset val="136"/>
      </rPr>
      <t>月</t>
    </r>
    <r>
      <rPr>
        <sz val="12"/>
        <rFont val="標楷體"/>
        <family val="4"/>
        <charset val="136"/>
      </rPr>
      <t/>
    </r>
  </si>
  <si>
    <t>附錄7  基金管理會正式職員考試類別</t>
    <phoneticPr fontId="3" type="noConversion"/>
  </si>
  <si>
    <t>考試及格種類</t>
    <phoneticPr fontId="3" type="noConversion"/>
  </si>
  <si>
    <t>依其他法令進用</t>
    <phoneticPr fontId="3" type="noConversion"/>
  </si>
  <si>
    <t>高等考試</t>
    <phoneticPr fontId="3" type="noConversion"/>
  </si>
  <si>
    <t>普通考試</t>
    <phoneticPr fontId="3" type="noConversion"/>
  </si>
  <si>
    <t>初等考試</t>
    <phoneticPr fontId="3" type="noConversion"/>
  </si>
  <si>
    <t>特種考試</t>
    <phoneticPr fontId="3" type="noConversion"/>
  </si>
  <si>
    <t>升等考試</t>
    <phoneticPr fontId="3" type="noConversion"/>
  </si>
  <si>
    <t>其他考試</t>
    <phoneticPr fontId="3" type="noConversion"/>
  </si>
  <si>
    <t>附錄8  基金管理會正式職員年齡分布</t>
    <phoneticPr fontId="3" type="noConversion"/>
  </si>
  <si>
    <t xml:space="preserve">                               中華民國108年底                                                                                                       </t>
    <phoneticPr fontId="3" type="noConversion"/>
  </si>
  <si>
    <r>
      <t>單位：人；歲</t>
    </r>
    <r>
      <rPr>
        <sz val="10"/>
        <rFont val="Times New Roman"/>
        <family val="1"/>
      </rPr>
      <t xml:space="preserve">  </t>
    </r>
    <phoneticPr fontId="3" type="noConversion"/>
  </si>
  <si>
    <r>
      <t>24</t>
    </r>
    <r>
      <rPr>
        <sz val="12"/>
        <rFont val="標楷體"/>
        <family val="4"/>
        <charset val="136"/>
      </rPr>
      <t>歲以下</t>
    </r>
    <phoneticPr fontId="3" type="noConversion"/>
  </si>
  <si>
    <r>
      <t>25–29</t>
    </r>
    <r>
      <rPr>
        <sz val="12"/>
        <rFont val="標楷體"/>
        <family val="4"/>
        <charset val="136"/>
      </rPr>
      <t>歲</t>
    </r>
    <phoneticPr fontId="3" type="noConversion"/>
  </si>
  <si>
    <r>
      <t>30–34</t>
    </r>
    <r>
      <rPr>
        <sz val="12"/>
        <rFont val="標楷體"/>
        <family val="4"/>
        <charset val="136"/>
      </rPr>
      <t>歲</t>
    </r>
    <phoneticPr fontId="3" type="noConversion"/>
  </si>
  <si>
    <r>
      <t>35–39</t>
    </r>
    <r>
      <rPr>
        <sz val="12"/>
        <rFont val="標楷體"/>
        <family val="4"/>
        <charset val="136"/>
      </rPr>
      <t>歲</t>
    </r>
    <phoneticPr fontId="3" type="noConversion"/>
  </si>
  <si>
    <r>
      <t>40–44</t>
    </r>
    <r>
      <rPr>
        <sz val="12"/>
        <rFont val="標楷體"/>
        <family val="4"/>
        <charset val="136"/>
      </rPr>
      <t>歲</t>
    </r>
    <phoneticPr fontId="3" type="noConversion"/>
  </si>
  <si>
    <r>
      <t>45–49</t>
    </r>
    <r>
      <rPr>
        <sz val="12"/>
        <rFont val="標楷體"/>
        <family val="4"/>
        <charset val="136"/>
      </rPr>
      <t>歲</t>
    </r>
    <phoneticPr fontId="3" type="noConversion"/>
  </si>
  <si>
    <r>
      <t>50–54</t>
    </r>
    <r>
      <rPr>
        <sz val="12"/>
        <rFont val="標楷體"/>
        <family val="4"/>
        <charset val="136"/>
      </rPr>
      <t>歲</t>
    </r>
    <phoneticPr fontId="3" type="noConversion"/>
  </si>
  <si>
    <r>
      <t>55–59</t>
    </r>
    <r>
      <rPr>
        <sz val="12"/>
        <rFont val="標楷體"/>
        <family val="4"/>
        <charset val="136"/>
      </rPr>
      <t>歲</t>
    </r>
    <phoneticPr fontId="3" type="noConversion"/>
  </si>
  <si>
    <r>
      <t>60–64</t>
    </r>
    <r>
      <rPr>
        <sz val="12"/>
        <rFont val="標楷體"/>
        <family val="4"/>
        <charset val="136"/>
      </rPr>
      <t>歲</t>
    </r>
    <phoneticPr fontId="3" type="noConversion"/>
  </si>
  <si>
    <r>
      <t>65</t>
    </r>
    <r>
      <rPr>
        <sz val="12"/>
        <rFont val="標楷體"/>
        <family val="4"/>
        <charset val="136"/>
      </rPr>
      <t>歲以上</t>
    </r>
    <phoneticPr fontId="3" type="noConversion"/>
  </si>
  <si>
    <t>附錄9  基金管理會正式職員任職年資</t>
    <phoneticPr fontId="3" type="noConversion"/>
  </si>
  <si>
    <r>
      <t>單位：人；年</t>
    </r>
    <r>
      <rPr>
        <sz val="10"/>
        <rFont val="Times New Roman"/>
        <family val="1"/>
      </rPr>
      <t xml:space="preserve">  </t>
    </r>
    <phoneticPr fontId="3" type="noConversion"/>
  </si>
  <si>
    <r>
      <t>4</t>
    </r>
    <r>
      <rPr>
        <sz val="12"/>
        <rFont val="標楷體"/>
        <family val="4"/>
        <charset val="136"/>
      </rPr>
      <t>年以下</t>
    </r>
    <phoneticPr fontId="3" type="noConversion"/>
  </si>
  <si>
    <r>
      <t>5–9</t>
    </r>
    <r>
      <rPr>
        <sz val="12"/>
        <rFont val="標楷體"/>
        <family val="4"/>
        <charset val="136"/>
      </rPr>
      <t>年</t>
    </r>
    <phoneticPr fontId="3" type="noConversion"/>
  </si>
  <si>
    <r>
      <t>10–14</t>
    </r>
    <r>
      <rPr>
        <sz val="12"/>
        <rFont val="標楷體"/>
        <family val="4"/>
        <charset val="136"/>
      </rPr>
      <t>年</t>
    </r>
    <phoneticPr fontId="3" type="noConversion"/>
  </si>
  <si>
    <r>
      <t>15–19</t>
    </r>
    <r>
      <rPr>
        <sz val="12"/>
        <rFont val="標楷體"/>
        <family val="4"/>
        <charset val="136"/>
      </rPr>
      <t>年</t>
    </r>
    <phoneticPr fontId="3" type="noConversion"/>
  </si>
  <si>
    <r>
      <t>20–24</t>
    </r>
    <r>
      <rPr>
        <sz val="12"/>
        <rFont val="標楷體"/>
        <family val="4"/>
        <charset val="136"/>
      </rPr>
      <t>年</t>
    </r>
    <phoneticPr fontId="3" type="noConversion"/>
  </si>
  <si>
    <r>
      <t>25–29</t>
    </r>
    <r>
      <rPr>
        <sz val="12"/>
        <rFont val="標楷體"/>
        <family val="4"/>
        <charset val="136"/>
      </rPr>
      <t>年</t>
    </r>
    <phoneticPr fontId="3" type="noConversion"/>
  </si>
  <si>
    <r>
      <t>30</t>
    </r>
    <r>
      <rPr>
        <sz val="12"/>
        <rFont val="標楷體"/>
        <family val="4"/>
        <charset val="136"/>
      </rPr>
      <t>年以上</t>
    </r>
    <phoneticPr fontId="3" type="noConversion"/>
  </si>
  <si>
    <t>平均年資</t>
    <phoneticPr fontId="3" type="noConversion"/>
  </si>
  <si>
    <t xml:space="preserve">                               中華民國108年底                                                                                                        </t>
    <phoneticPr fontId="3" type="noConversion"/>
  </si>
  <si>
    <t>遺屬一次金
(含一次撫慰金)</t>
    <phoneticPr fontId="3" type="noConversion"/>
  </si>
  <si>
    <t>遺屬年金
(含月撫慰金)</t>
    <phoneticPr fontId="3" type="noConversion"/>
  </si>
  <si>
    <t>附註：1.本表以參加公務人員退休撫卹基金之政務人員為統計對象。
      2.依年改後退撫相關法令規定，自107年7月1日起，一次撫慰金、月撫慰金改稱遺屬一次金、遺屬年金。</t>
    <phoneticPr fontId="3" type="noConversion"/>
  </si>
  <si>
    <r>
      <t xml:space="preserve">                                    中華民國108年                          </t>
    </r>
    <r>
      <rPr>
        <sz val="10"/>
        <rFont val="標楷體"/>
        <family val="4"/>
        <charset val="136"/>
      </rPr>
      <t>單位：人；歲</t>
    </r>
    <r>
      <rPr>
        <sz val="12"/>
        <rFont val="標楷體"/>
        <family val="4"/>
        <charset val="136"/>
      </rPr>
      <t xml:space="preserve">                                                                                   </t>
    </r>
    <phoneticPr fontId="3" type="noConversion"/>
  </si>
  <si>
    <t xml:space="preserve">                中華民國99</t>
    <phoneticPr fontId="3" type="noConversion"/>
  </si>
  <si>
    <t>年至108年</t>
    <phoneticPr fontId="3" type="noConversion"/>
  </si>
  <si>
    <t>一次撫卹金及
年(月)撫卹金</t>
    <phoneticPr fontId="3" type="noConversion"/>
  </si>
  <si>
    <r>
      <t>附註：1.本表以參加公務人員退休撫卹基金之公務人員為統計對象。
      2.依年改後退撫相關法令規定，公務人員年撫卹金自107年7月1日改為月撫卹金。</t>
    </r>
    <r>
      <rPr>
        <sz val="10"/>
        <rFont val="Times New Roman"/>
        <family val="1"/>
      </rPr>
      <t/>
    </r>
    <phoneticPr fontId="3" type="noConversion"/>
  </si>
  <si>
    <r>
      <t>附註：1.本表以參加公務人員退休撫卹基金之教育人員為統計對象。
      2.依年改後退撫相關法令規定，教育人員年撫卹金自107年7月1日改為月撫卹金。</t>
    </r>
    <r>
      <rPr>
        <sz val="10"/>
        <rFont val="Times New Roman"/>
        <family val="1"/>
      </rPr>
      <t/>
    </r>
    <phoneticPr fontId="3" type="noConversion"/>
  </si>
  <si>
    <t>一次撫卹金及年(月)撫卹金(一次卹金及年撫金)</t>
    <phoneticPr fontId="3" type="noConversion"/>
  </si>
  <si>
    <t>一次撫卹金及年(月)撫卹金
(一次卹金及年撫金)</t>
    <phoneticPr fontId="3" type="noConversion"/>
  </si>
  <si>
    <r>
      <t>附註：1.本表以參加公務人員退休撫卹基金之政務人員、公務人員、教育人員及軍職人員為統計對象。
      2.依年改後退撫相關法令規定，公、教人員年撫卹金自107年7月1日改為月撫卹金。</t>
    </r>
    <r>
      <rPr>
        <sz val="10"/>
        <rFont val="Times New Roman"/>
        <family val="1"/>
      </rPr>
      <t/>
    </r>
    <phoneticPr fontId="3" type="noConversion"/>
  </si>
  <si>
    <t>遺屬年金
(含月撫慰金、
退休俸半數)</t>
    <phoneticPr fontId="3" type="noConversion"/>
  </si>
  <si>
    <t>遺屬年金
(含退休俸半數)</t>
    <phoneticPr fontId="3" type="noConversion"/>
  </si>
  <si>
    <t xml:space="preserve">      2.定期退撫給與包含月退休金(退休俸)、遺屬年金(月撫慰金、退休俸半數)、因公傷病退休(職)金、贍養金、贍養金半數 及年(月)撫卹金等項目。</t>
    <phoneticPr fontId="11" type="noConversion"/>
  </si>
  <si>
    <r>
      <t>遺屬年金
(月撫慰金、退休俸半數</t>
    </r>
    <r>
      <rPr>
        <sz val="10"/>
        <rFont val="Times New Roman"/>
        <family val="1"/>
      </rPr>
      <t>)</t>
    </r>
    <phoneticPr fontId="3" type="noConversion"/>
  </si>
  <si>
    <t>附註：1.本表以參加公務人員退休撫卹基金之政務人員、公務人員、教育人員及軍職人員為統計對象。 
      2.因公、教、軍年改後退撫法令規定，月撫慰金自107年7月1日以後改稱遺屬年金，年撫卹金自107年7月1日以後公、教人員改為月撫卹金。</t>
    <phoneticPr fontId="11" type="noConversion"/>
  </si>
  <si>
    <r>
      <t xml:space="preserve">                                 中華民國108年                      </t>
    </r>
    <r>
      <rPr>
        <sz val="10"/>
        <rFont val="標楷體"/>
        <family val="4"/>
        <charset val="136"/>
      </rPr>
      <t xml:space="preserve">單位：人；歲    </t>
    </r>
    <r>
      <rPr>
        <sz val="12"/>
        <rFont val="標楷體"/>
        <family val="4"/>
        <charset val="136"/>
      </rPr>
      <t xml:space="preserve">                                                                 </t>
    </r>
    <phoneticPr fontId="3" type="noConversion"/>
  </si>
  <si>
    <r>
      <t xml:space="preserve">基金收繳
</t>
    </r>
    <r>
      <rPr>
        <sz val="11"/>
        <rFont val="Times New Roman"/>
        <family val="1"/>
      </rPr>
      <t xml:space="preserve"> </t>
    </r>
    <r>
      <rPr>
        <sz val="11"/>
        <rFont val="標楷體"/>
        <family val="4"/>
        <charset val="136"/>
      </rPr>
      <t>(A)</t>
    </r>
    <phoneticPr fontId="3" type="noConversion"/>
  </si>
  <si>
    <t>附註：1.本表以參加公務人員退休撫卹基金之公務人員為統計對象。
      2.依年改後退撫相關法令規定，自107年7月1日起，一次撫慰金、月撫慰金改稱遺屬一次金、遺屬年金。公教人員年撫卹金改 為月撫卹金。</t>
    <phoneticPr fontId="3" type="noConversion"/>
  </si>
  <si>
    <t>附註：1.本表以參加公務人員退休撫卹基金之教育人員為統計對象。
      2.依年改後退撫相關法令規定，自107年7月1日起，一次撫慰金、月撫慰金改稱遺屬一次金、遺屬年金。公教人員年撫卹金改 為月撫卹金。</t>
    <phoneticPr fontId="3" type="noConversion"/>
  </si>
  <si>
    <r>
      <t xml:space="preserve">                                         </t>
    </r>
    <r>
      <rPr>
        <sz val="12"/>
        <rFont val="標楷體"/>
        <family val="4"/>
        <charset val="136"/>
      </rPr>
      <t xml:space="preserve">中華民國108年底       </t>
    </r>
    <r>
      <rPr>
        <sz val="10"/>
        <rFont val="標楷體"/>
        <family val="4"/>
        <charset val="136"/>
      </rPr>
      <t xml:space="preserve">                           單位：人                                                 </t>
    </r>
    <phoneticPr fontId="3" type="noConversion"/>
  </si>
  <si>
    <r>
      <t xml:space="preserve">國108年 </t>
    </r>
    <r>
      <rPr>
        <sz val="12"/>
        <rFont val="Times New Roman"/>
        <family val="1"/>
      </rPr>
      <t xml:space="preserve">  </t>
    </r>
    <phoneticPr fontId="3" type="noConversion"/>
  </si>
  <si>
    <r>
      <t xml:space="preserve">     </t>
    </r>
    <r>
      <rPr>
        <sz val="11"/>
        <rFont val="標楷體"/>
        <family val="4"/>
        <charset val="136"/>
      </rPr>
      <t>33歲</t>
    </r>
    <phoneticPr fontId="3" type="noConversion"/>
  </si>
  <si>
    <r>
      <t xml:space="preserve">     </t>
    </r>
    <r>
      <rPr>
        <sz val="11"/>
        <rFont val="標楷體"/>
        <family val="4"/>
        <charset val="136"/>
      </rPr>
      <t>34歲</t>
    </r>
    <phoneticPr fontId="3" type="noConversion"/>
  </si>
  <si>
    <r>
      <t xml:space="preserve">     </t>
    </r>
    <r>
      <rPr>
        <sz val="11"/>
        <rFont val="標楷體"/>
        <family val="4"/>
        <charset val="136"/>
      </rPr>
      <t>35歲</t>
    </r>
    <phoneticPr fontId="3" type="noConversion"/>
  </si>
  <si>
    <r>
      <t xml:space="preserve">     </t>
    </r>
    <r>
      <rPr>
        <sz val="11"/>
        <rFont val="標楷體"/>
        <family val="4"/>
        <charset val="136"/>
      </rPr>
      <t>36歲</t>
    </r>
    <phoneticPr fontId="3" type="noConversion"/>
  </si>
  <si>
    <r>
      <t xml:space="preserve">     </t>
    </r>
    <r>
      <rPr>
        <sz val="11"/>
        <rFont val="標楷體"/>
        <family val="4"/>
        <charset val="136"/>
      </rPr>
      <t>37歲</t>
    </r>
    <phoneticPr fontId="3" type="noConversion"/>
  </si>
  <si>
    <r>
      <t xml:space="preserve">     </t>
    </r>
    <r>
      <rPr>
        <sz val="11"/>
        <rFont val="標楷體"/>
        <family val="4"/>
        <charset val="136"/>
      </rPr>
      <t>38歲</t>
    </r>
    <phoneticPr fontId="3" type="noConversion"/>
  </si>
  <si>
    <r>
      <t xml:space="preserve">     </t>
    </r>
    <r>
      <rPr>
        <sz val="11"/>
        <rFont val="標楷體"/>
        <family val="4"/>
        <charset val="136"/>
      </rPr>
      <t>39歲</t>
    </r>
    <phoneticPr fontId="3" type="noConversion"/>
  </si>
  <si>
    <r>
      <t xml:space="preserve">     </t>
    </r>
    <r>
      <rPr>
        <sz val="11"/>
        <rFont val="標楷體"/>
        <family val="4"/>
        <charset val="136"/>
      </rPr>
      <t>40歲</t>
    </r>
    <phoneticPr fontId="3" type="noConversion"/>
  </si>
  <si>
    <r>
      <t xml:space="preserve">     </t>
    </r>
    <r>
      <rPr>
        <sz val="11"/>
        <rFont val="標楷體"/>
        <family val="4"/>
        <charset val="136"/>
      </rPr>
      <t>41歲</t>
    </r>
    <phoneticPr fontId="3" type="noConversion"/>
  </si>
  <si>
    <r>
      <t xml:space="preserve">     </t>
    </r>
    <r>
      <rPr>
        <sz val="11"/>
        <rFont val="標楷體"/>
        <family val="4"/>
        <charset val="136"/>
      </rPr>
      <t>42歲</t>
    </r>
    <phoneticPr fontId="3" type="noConversion"/>
  </si>
  <si>
    <r>
      <t xml:space="preserve">     </t>
    </r>
    <r>
      <rPr>
        <sz val="11"/>
        <rFont val="標楷體"/>
        <family val="4"/>
        <charset val="136"/>
      </rPr>
      <t>43歲</t>
    </r>
    <phoneticPr fontId="3" type="noConversion"/>
  </si>
  <si>
    <r>
      <t xml:space="preserve">     </t>
    </r>
    <r>
      <rPr>
        <sz val="11"/>
        <rFont val="標楷體"/>
        <family val="4"/>
        <charset val="136"/>
      </rPr>
      <t>44歲</t>
    </r>
    <phoneticPr fontId="3" type="noConversion"/>
  </si>
  <si>
    <r>
      <t xml:space="preserve">     </t>
    </r>
    <r>
      <rPr>
        <sz val="11"/>
        <rFont val="標楷體"/>
        <family val="4"/>
        <charset val="136"/>
      </rPr>
      <t>45歲</t>
    </r>
    <phoneticPr fontId="3" type="noConversion"/>
  </si>
  <si>
    <t>49歲以上</t>
    <phoneticPr fontId="3" type="noConversion"/>
  </si>
  <si>
    <r>
      <t>附註：1.本表以參加公務人員退休撫卹基金之政務人員、公務人員、教育人員及軍職人員為統計對象。</t>
    </r>
    <r>
      <rPr>
        <sz val="10"/>
        <rFont val="Times New Roman"/>
        <family val="1"/>
      </rPr>
      <t/>
    </r>
    <phoneticPr fontId="3" type="noConversion"/>
  </si>
  <si>
    <t xml:space="preserve">      2.依規定退休人員年齡未滿50歲具有工作能力而自願退休者，不得擇領月退休金或兼領月退休金。準   此，年齡滿50歲以上者，如符退休條件，均以辦理退休擇領月退休金者居多，故是類人員申請發還原繳    </t>
    <phoneticPr fontId="3" type="noConversion"/>
  </si>
  <si>
    <t xml:space="preserve">        付基金費用者較少，是以本表係以49歲作為統計人數之上限級距。</t>
    <phoneticPr fontId="3" type="noConversion"/>
  </si>
  <si>
    <t>check性別</t>
    <phoneticPr fontId="3" type="noConversion"/>
  </si>
  <si>
    <t>公式</t>
    <phoneticPr fontId="3" type="noConversion"/>
  </si>
  <si>
    <t xml:space="preserve">                                中華民國99年至108年             </t>
    <phoneticPr fontId="3" type="noConversion"/>
  </si>
  <si>
    <t xml:space="preserve">      2.退休俸半數僅適用於軍職人員。</t>
    <phoneticPr fontId="11" type="noConversion"/>
  </si>
  <si>
    <t>check公式</t>
    <phoneticPr fontId="3" type="noConversion"/>
  </si>
  <si>
    <t>一次撫卹金及
月撫卹金</t>
    <phoneticPr fontId="3" type="noConversion"/>
  </si>
  <si>
    <r>
      <t>附註：本表以參加公務人員退休撫卹基金之公務人員為統計對象。</t>
    </r>
    <r>
      <rPr>
        <sz val="10"/>
        <rFont val="Times New Roman"/>
        <family val="1"/>
      </rPr>
      <t/>
    </r>
    <phoneticPr fontId="3" type="noConversion"/>
  </si>
  <si>
    <t>附註：1.本表以參加公務人員退休撫卹基金之政務人員為統計對象。
      2.依政務人員退職撫卹條例規定，適（準）用公務人員退休資遣撫卹法。</t>
    <phoneticPr fontId="3" type="noConversion"/>
  </si>
  <si>
    <t>表35  最近10年支領遺屬一次金(一次撫慰金)人數</t>
    <phoneticPr fontId="3" type="noConversion"/>
  </si>
  <si>
    <t xml:space="preserve">    表36  最近10年支領遺屬年金(月撫慰金)(退休俸半數)之配偶人數</t>
    <phoneticPr fontId="3" type="noConversion"/>
  </si>
  <si>
    <t xml:space="preserve">   表37  最近10年支領遺屬年金(月撫慰金)(退休俸半數)之父母人數</t>
    <phoneticPr fontId="3" type="noConversion"/>
  </si>
  <si>
    <t xml:space="preserve">   表38  最近10年支領遺屬年金(月撫慰金)(退休俸半數)之未成年</t>
    <phoneticPr fontId="3" type="noConversion"/>
  </si>
  <si>
    <t>103年</t>
    <phoneticPr fontId="3" type="noConversion"/>
  </si>
  <si>
    <t>104年</t>
    <phoneticPr fontId="3" type="noConversion"/>
  </si>
  <si>
    <t>106年</t>
    <phoneticPr fontId="3" type="noConversion"/>
  </si>
  <si>
    <t>107年</t>
    <phoneticPr fontId="3" type="noConversion"/>
  </si>
  <si>
    <t>108年</t>
    <phoneticPr fontId="3" type="noConversion"/>
  </si>
  <si>
    <t>附註：1.本表以參加公務人員退休撫卹基金之政務人員、公務人員、教育人員及軍職人員為統計對象。
      2.依年改後退撫相關法令規定，自107年7月1日起，一次撫慰金、月撫慰金改稱遺屬一次金、遺屬年金。公教人員年撫卹金  改為月撫卹金。</t>
    <phoneticPr fontId="3" type="noConversion"/>
  </si>
  <si>
    <t>CHECK</t>
    <phoneticPr fontId="3" type="noConversion"/>
  </si>
  <si>
    <t>附註：1.本表以參加公務人員退休撫卹基金之公務人員為統計對象。
      2.依年改後退撫相關法令規定，自107年7月1日起，一次撫慰金、月撫慰金改稱遺屬一次金、遺屬年金。公教人員年撫卹金改為月撫卹金。</t>
    <phoneticPr fontId="3" type="noConversion"/>
  </si>
  <si>
    <t>附註：1.本表以參加公務人員退休撫卹基金之教育人員為統計對象。
      2.依年改後退撫相關法令規定，自107年7月1日起，一次撫慰金、月撫慰金改稱遺屬一次金、遺屬年金。公教人員年撫卹金改為月撫   卹金。</t>
    <phoneticPr fontId="3" type="noConversion"/>
  </si>
  <si>
    <t>附註：1.本表以參加公務人員退休撫卹基金之軍職人員為統計對象。
      2.依年改後退撫相關法令規定，自107年7月1日起，一次撫慰金、月撫慰金改稱遺屬一次金、遺屬年金。</t>
    <phoneticPr fontId="3" type="noConversion"/>
  </si>
  <si>
    <t>CHECK</t>
    <phoneticPr fontId="3" type="noConversion"/>
  </si>
  <si>
    <r>
      <rPr>
        <b/>
        <sz val="16"/>
        <rFont val="標楷體"/>
        <family val="4"/>
        <charset val="136"/>
      </rPr>
      <t>附錄1  提</t>
    </r>
    <r>
      <rPr>
        <b/>
        <sz val="16"/>
        <rFont val="Times New Roman"/>
        <family val="1"/>
      </rPr>
      <t xml:space="preserve"> </t>
    </r>
    <r>
      <rPr>
        <b/>
        <sz val="16"/>
        <rFont val="標楷體"/>
        <family val="4"/>
        <charset val="136"/>
      </rPr>
      <t>撥</t>
    </r>
    <r>
      <rPr>
        <b/>
        <sz val="16"/>
        <rFont val="Times New Roman"/>
        <family val="1"/>
      </rPr>
      <t xml:space="preserve">  </t>
    </r>
    <phoneticPr fontId="3" type="noConversion"/>
  </si>
  <si>
    <r>
      <rPr>
        <b/>
        <sz val="16"/>
        <rFont val="標楷體"/>
        <family val="4"/>
        <charset val="136"/>
      </rPr>
      <t>進</t>
    </r>
    <r>
      <rPr>
        <b/>
        <sz val="16"/>
        <rFont val="Times New Roman"/>
        <family val="1"/>
      </rPr>
      <t xml:space="preserve"> </t>
    </r>
    <r>
      <rPr>
        <b/>
        <sz val="16"/>
        <rFont val="標楷體"/>
        <family val="4"/>
        <charset val="136"/>
      </rPr>
      <t>度</t>
    </r>
    <r>
      <rPr>
        <b/>
        <sz val="16"/>
        <rFont val="Times New Roman"/>
        <family val="1"/>
      </rPr>
      <t xml:space="preserve"> </t>
    </r>
    <r>
      <rPr>
        <b/>
        <sz val="16"/>
        <rFont val="標楷體"/>
        <family val="4"/>
        <charset val="136"/>
      </rPr>
      <t>表</t>
    </r>
    <phoneticPr fontId="3" type="noConversion"/>
  </si>
  <si>
    <t>108年</t>
    <phoneticPr fontId="3" type="noConversion"/>
  </si>
  <si>
    <t>附註：1.本表以參加公務人員退休撫卹基金之公務人員為統計對象。
      2.依年改後退撫相關法令規定，自107年7月1日起，一次撫慰金、月撫慰金改稱遺屬一次金、遺屬年金。公教人員年撫卹金  改為月撫卹金。</t>
    <phoneticPr fontId="3" type="noConversion"/>
  </si>
</sst>
</file>

<file path=xl/styles.xml><?xml version="1.0" encoding="utf-8"?>
<styleSheet xmlns="http://schemas.openxmlformats.org/spreadsheetml/2006/main">
  <numFmts count="20">
    <numFmt numFmtId="41" formatCode="_-* #,##0_-;\-* #,##0_-;_-* &quot;-&quot;_-;_-@_-"/>
    <numFmt numFmtId="43" formatCode="_-* #,##0.00_-;\-* #,##0.00_-;_-* &quot;-&quot;??_-;_-@_-"/>
    <numFmt numFmtId="176" formatCode="#,##0.00_ "/>
    <numFmt numFmtId="177" formatCode="_-* #,##0.00_-;\-* #,##0.00_-;_-* &quot;-&quot;_-;_-@_-"/>
    <numFmt numFmtId="178" formatCode="#,##0_ "/>
    <numFmt numFmtId="179" formatCode="_(* #,##0_);_(* \(#,##0\);_(* &quot;-&quot;_);_(@_)"/>
    <numFmt numFmtId="180" formatCode="0.00_);[Red]\(0.00\)"/>
    <numFmt numFmtId="181" formatCode="#,##0.00_);[Red]\(#,##0.00\)"/>
    <numFmt numFmtId="182" formatCode="0.00_ "/>
    <numFmt numFmtId="183" formatCode="#,##0.000_ "/>
    <numFmt numFmtId="184" formatCode="#,##0_);[Red]\(#,##0\)"/>
    <numFmt numFmtId="185" formatCode="_-* #,##0.000_-;\-* #,##0.000_-;_-* &quot;-&quot;_-;_-@_-"/>
    <numFmt numFmtId="186" formatCode="_-* #,##0_-;\-* #,##0_-;_-* &quot;-&quot;??_-;_-@_-"/>
    <numFmt numFmtId="187" formatCode="\ #,##0;\-\ #,##0;&quot;-&quot;"/>
    <numFmt numFmtId="188" formatCode="0.00_ ;[Red]\-0.00\ "/>
    <numFmt numFmtId="189" formatCode="0.0"/>
    <numFmt numFmtId="190" formatCode="0.0_ "/>
    <numFmt numFmtId="191" formatCode="#,##0.0_);[Red]\(#,##0.0\)"/>
    <numFmt numFmtId="192" formatCode="0.0%"/>
    <numFmt numFmtId="193" formatCode="0_ "/>
  </numFmts>
  <fonts count="69">
    <font>
      <sz val="12"/>
      <name val="新細明體"/>
      <family val="1"/>
      <charset val="136"/>
    </font>
    <font>
      <sz val="12"/>
      <name val="新細明體"/>
      <family val="1"/>
      <charset val="136"/>
    </font>
    <font>
      <b/>
      <sz val="16"/>
      <name val="標楷體"/>
      <family val="4"/>
      <charset val="136"/>
    </font>
    <font>
      <sz val="9"/>
      <name val="新細明體"/>
      <family val="1"/>
      <charset val="136"/>
    </font>
    <font>
      <sz val="12"/>
      <name val="標楷體"/>
      <family val="4"/>
      <charset val="136"/>
    </font>
    <font>
      <sz val="10"/>
      <name val="標楷體"/>
      <family val="4"/>
      <charset val="136"/>
    </font>
    <font>
      <b/>
      <sz val="18"/>
      <name val="標楷體"/>
      <family val="4"/>
      <charset val="136"/>
    </font>
    <font>
      <sz val="12"/>
      <name val="Times New Roman"/>
      <family val="1"/>
    </font>
    <font>
      <b/>
      <sz val="12"/>
      <name val="標楷體"/>
      <family val="4"/>
      <charset val="136"/>
    </font>
    <font>
      <sz val="10"/>
      <name val="Times New Roman"/>
      <family val="1"/>
    </font>
    <font>
      <sz val="11"/>
      <name val="標楷體"/>
      <family val="4"/>
      <charset val="136"/>
    </font>
    <font>
      <sz val="9"/>
      <name val="細明體"/>
      <family val="3"/>
      <charset val="136"/>
    </font>
    <font>
      <sz val="11"/>
      <name val="Times New Roman"/>
      <family val="1"/>
    </font>
    <font>
      <b/>
      <sz val="12"/>
      <name val="Times New Roman"/>
      <family val="1"/>
    </font>
    <font>
      <sz val="9"/>
      <name val="Times New Roman"/>
      <family val="1"/>
    </font>
    <font>
      <b/>
      <i/>
      <sz val="12"/>
      <name val="標楷體"/>
      <family val="4"/>
      <charset val="136"/>
    </font>
    <font>
      <b/>
      <i/>
      <sz val="8"/>
      <name val="標楷體"/>
      <family val="4"/>
      <charset val="136"/>
    </font>
    <font>
      <sz val="8"/>
      <name val="Times New Roman"/>
      <family val="1"/>
    </font>
    <font>
      <sz val="8"/>
      <name val="標楷體"/>
      <family val="4"/>
      <charset val="136"/>
    </font>
    <font>
      <b/>
      <sz val="9"/>
      <color indexed="81"/>
      <name val="新細明體"/>
      <family val="1"/>
      <charset val="136"/>
    </font>
    <font>
      <sz val="9"/>
      <color indexed="81"/>
      <name val="新細明體"/>
      <family val="1"/>
      <charset val="136"/>
    </font>
    <font>
      <sz val="9"/>
      <name val="標楷體"/>
      <family val="4"/>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b/>
      <sz val="16"/>
      <name val="Times New Roman"/>
      <family val="1"/>
    </font>
    <font>
      <b/>
      <sz val="28"/>
      <name val="標楷體"/>
      <family val="4"/>
      <charset val="136"/>
    </font>
    <font>
      <sz val="18"/>
      <name val="Times New Roman"/>
      <family val="1"/>
    </font>
    <font>
      <sz val="16"/>
      <name val="標楷體"/>
      <family val="4"/>
      <charset val="136"/>
    </font>
    <font>
      <sz val="13"/>
      <name val="Times New Roman"/>
      <family val="1"/>
    </font>
    <font>
      <sz val="16"/>
      <name val="Times New Roman"/>
      <family val="1"/>
    </font>
    <font>
      <sz val="13"/>
      <color rgb="FF0000FF"/>
      <name val="Times New Roman"/>
      <family val="1"/>
    </font>
    <font>
      <sz val="12"/>
      <color rgb="FF0000FF"/>
      <name val="新細明體"/>
      <family val="1"/>
      <charset val="136"/>
    </font>
    <font>
      <b/>
      <sz val="20"/>
      <name val="標楷體"/>
      <family val="4"/>
      <charset val="136"/>
    </font>
    <font>
      <sz val="20"/>
      <name val="新細明體"/>
      <family val="1"/>
      <charset val="136"/>
    </font>
    <font>
      <sz val="12"/>
      <name val="Times New Roman"/>
      <family val="4"/>
      <charset val="136"/>
    </font>
    <font>
      <sz val="14"/>
      <color rgb="FF0000FF"/>
      <name val="新細明體"/>
      <family val="1"/>
      <charset val="136"/>
    </font>
    <font>
      <sz val="12"/>
      <color rgb="FF0000FF"/>
      <name val="標楷體"/>
      <family val="4"/>
      <charset val="136"/>
    </font>
    <font>
      <sz val="14"/>
      <name val="標楷體"/>
      <family val="4"/>
      <charset val="136"/>
    </font>
    <font>
      <sz val="14"/>
      <name val="新細明體"/>
      <family val="1"/>
      <charset val="136"/>
    </font>
    <font>
      <sz val="14"/>
      <name val="Times New Roman"/>
      <family val="1"/>
    </font>
    <font>
      <sz val="10"/>
      <name val="新細明體"/>
      <family val="1"/>
      <charset val="136"/>
    </font>
    <font>
      <sz val="12"/>
      <name val="細明體"/>
      <family val="3"/>
      <charset val="136"/>
    </font>
    <font>
      <sz val="12"/>
      <name val="華康楷書體W5"/>
      <family val="1"/>
      <charset val="136"/>
    </font>
    <font>
      <sz val="9"/>
      <name val="華康楷書體W5"/>
      <family val="1"/>
      <charset val="136"/>
    </font>
    <font>
      <sz val="11"/>
      <color indexed="8"/>
      <name val="Times New Roman"/>
      <family val="1"/>
    </font>
    <font>
      <sz val="9"/>
      <name val="Arial Unicode MS"/>
      <family val="2"/>
      <charset val="136"/>
    </font>
    <font>
      <sz val="8"/>
      <name val="華康楷書體W5"/>
      <family val="1"/>
      <charset val="136"/>
    </font>
    <font>
      <sz val="11"/>
      <name val="細明體"/>
      <family val="3"/>
      <charset val="136"/>
    </font>
    <font>
      <sz val="8"/>
      <name val="新細明體"/>
      <family val="1"/>
      <charset val="136"/>
    </font>
    <font>
      <b/>
      <sz val="22"/>
      <name val="標楷體"/>
      <family val="4"/>
      <charset val="136"/>
    </font>
    <font>
      <sz val="10"/>
      <color indexed="8"/>
      <name val="標楷體"/>
      <family val="4"/>
      <charset val="136"/>
    </font>
    <font>
      <b/>
      <sz val="24"/>
      <name val="標楷體"/>
      <family val="4"/>
      <charset val="136"/>
    </font>
    <font>
      <sz val="12"/>
      <color indexed="8"/>
      <name val="標楷體"/>
      <family val="4"/>
      <charset val="136"/>
    </font>
    <font>
      <sz val="12"/>
      <color indexed="81"/>
      <name val="細明體"/>
      <family val="3"/>
      <charset val="136"/>
    </font>
    <font>
      <sz val="12"/>
      <color indexed="81"/>
      <name val="Tahoma"/>
      <family val="2"/>
    </font>
    <font>
      <sz val="14"/>
      <color indexed="12"/>
      <name val="Times New Roman"/>
      <family val="1"/>
    </font>
    <font>
      <sz val="18"/>
      <color indexed="12"/>
      <name val="Times New Roman"/>
      <family val="1"/>
    </font>
    <font>
      <sz val="12"/>
      <color indexed="12"/>
      <name val="Times New Roman"/>
      <family val="1"/>
    </font>
    <font>
      <sz val="12"/>
      <color indexed="10"/>
      <name val="Times New Roman"/>
      <family val="1"/>
    </font>
    <font>
      <sz val="12"/>
      <color rgb="FF000000"/>
      <name val="標楷體"/>
      <family val="4"/>
      <charset val="136"/>
    </font>
    <font>
      <sz val="12"/>
      <color rgb="FF000000"/>
      <name val="Times New Roman"/>
      <family val="1"/>
    </font>
    <font>
      <sz val="12"/>
      <name val="華康楷書體W5"/>
      <family val="3"/>
      <charset val="136"/>
    </font>
    <font>
      <sz val="8"/>
      <name val="華康楷書體W5"/>
      <family val="3"/>
      <charset val="136"/>
    </font>
    <font>
      <b/>
      <i/>
      <sz val="12"/>
      <name val="Times New Roman"/>
      <family val="1"/>
    </font>
    <font>
      <b/>
      <sz val="10"/>
      <name val="標楷體"/>
      <family val="4"/>
      <charset val="136"/>
    </font>
    <font>
      <u/>
      <sz val="16"/>
      <name val="Times New Roman"/>
      <family val="1"/>
    </font>
    <font>
      <u/>
      <sz val="16"/>
      <color indexed="12"/>
      <name val="Times New Roman"/>
      <family val="1"/>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FF"/>
        <bgColor indexed="64"/>
      </patternFill>
    </fill>
  </fills>
  <borders count="84">
    <border>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8"/>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18"/>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64"/>
      </left>
      <right style="thin">
        <color indexed="64"/>
      </right>
      <top style="medium">
        <color indexed="64"/>
      </top>
      <bottom/>
      <diagonal/>
    </border>
    <border>
      <left style="medium">
        <color indexed="8"/>
      </left>
      <right/>
      <top/>
      <bottom/>
      <diagonal/>
    </border>
    <border>
      <left/>
      <right style="medium">
        <color indexed="8"/>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18">
    <xf numFmtId="0" fontId="0" fillId="0" borderId="0"/>
    <xf numFmtId="0" fontId="7" fillId="0" borderId="0"/>
    <xf numFmtId="0" fontId="7" fillId="0" borderId="0"/>
    <xf numFmtId="0" fontId="4" fillId="0" borderId="0"/>
    <xf numFmtId="0" fontId="7" fillId="0" borderId="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7" fillId="0" borderId="0"/>
    <xf numFmtId="0" fontId="7" fillId="0" borderId="0"/>
    <xf numFmtId="0" fontId="1" fillId="0" borderId="0"/>
    <xf numFmtId="0" fontId="1" fillId="0" borderId="0"/>
    <xf numFmtId="0" fontId="7" fillId="0" borderId="0"/>
  </cellStyleXfs>
  <cellXfs count="1240">
    <xf numFmtId="0" fontId="0" fillId="0" borderId="0" xfId="0"/>
    <xf numFmtId="0" fontId="4" fillId="0" borderId="0" xfId="6" applyFont="1"/>
    <xf numFmtId="0" fontId="6" fillId="0" borderId="0" xfId="6" applyFont="1"/>
    <xf numFmtId="0" fontId="6" fillId="0" borderId="0" xfId="6" applyFont="1" applyBorder="1"/>
    <xf numFmtId="0" fontId="4" fillId="0" borderId="1" xfId="6" applyFont="1" applyFill="1" applyBorder="1" applyAlignment="1">
      <alignment horizontal="center" vertical="center"/>
    </xf>
    <xf numFmtId="41" fontId="7" fillId="0" borderId="0" xfId="6" applyNumberFormat="1" applyFont="1" applyAlignment="1">
      <alignment horizontal="center" vertical="center"/>
    </xf>
    <xf numFmtId="0" fontId="4" fillId="0" borderId="0" xfId="6" applyFont="1" applyAlignment="1">
      <alignment vertical="center"/>
    </xf>
    <xf numFmtId="41" fontId="7" fillId="0" borderId="0" xfId="6" applyNumberFormat="1" applyFont="1" applyBorder="1" applyAlignment="1">
      <alignment horizontal="center" vertical="center"/>
    </xf>
    <xf numFmtId="0" fontId="4" fillId="0" borderId="0" xfId="6" applyFont="1" applyBorder="1" applyAlignment="1">
      <alignment vertical="center"/>
    </xf>
    <xf numFmtId="41" fontId="7" fillId="0" borderId="0" xfId="6" applyNumberFormat="1" applyFont="1" applyFill="1" applyBorder="1" applyAlignment="1">
      <alignment horizontal="center" vertical="center"/>
    </xf>
    <xf numFmtId="41" fontId="7" fillId="0" borderId="2" xfId="6" applyNumberFormat="1" applyFont="1" applyFill="1" applyBorder="1" applyAlignment="1">
      <alignment horizontal="center" vertical="center"/>
    </xf>
    <xf numFmtId="0" fontId="5" fillId="0" borderId="3" xfId="6" applyFont="1" applyBorder="1" applyAlignment="1">
      <alignment horizontal="left" vertical="center"/>
    </xf>
    <xf numFmtId="0" fontId="5" fillId="0" borderId="0" xfId="6" applyFont="1" applyAlignment="1">
      <alignment vertical="center"/>
    </xf>
    <xf numFmtId="0" fontId="5" fillId="0" borderId="0" xfId="6" applyFont="1"/>
    <xf numFmtId="0" fontId="8" fillId="0" borderId="0" xfId="6" applyFont="1"/>
    <xf numFmtId="0" fontId="1" fillId="0" borderId="0" xfId="6"/>
    <xf numFmtId="0" fontId="1" fillId="0" borderId="0" xfId="6" applyBorder="1"/>
    <xf numFmtId="0" fontId="5" fillId="0" borderId="4" xfId="6" applyFont="1" applyBorder="1" applyAlignment="1">
      <alignment horizontal="center" vertical="center"/>
    </xf>
    <xf numFmtId="0" fontId="5" fillId="0" borderId="4" xfId="6" applyFont="1" applyBorder="1" applyAlignment="1">
      <alignment horizontal="center" vertical="center" wrapText="1"/>
    </xf>
    <xf numFmtId="0" fontId="5" fillId="0" borderId="5" xfId="6" applyFont="1" applyBorder="1" applyAlignment="1">
      <alignment horizontal="center" vertical="center" wrapText="1"/>
    </xf>
    <xf numFmtId="41" fontId="9" fillId="0" borderId="0" xfId="6" applyNumberFormat="1" applyFont="1" applyAlignment="1">
      <alignment horizontal="center" vertical="center"/>
    </xf>
    <xf numFmtId="41" fontId="9" fillId="0" borderId="0" xfId="6" applyNumberFormat="1" applyFont="1" applyBorder="1" applyAlignment="1">
      <alignment horizontal="center" vertical="center"/>
    </xf>
    <xf numFmtId="41" fontId="9" fillId="0" borderId="6" xfId="6" applyNumberFormat="1" applyFont="1" applyBorder="1" applyAlignment="1">
      <alignment horizontal="center" vertical="center"/>
    </xf>
    <xf numFmtId="41" fontId="9" fillId="0" borderId="7" xfId="6" applyNumberFormat="1" applyFont="1" applyBorder="1" applyAlignment="1">
      <alignment horizontal="center" vertical="center"/>
    </xf>
    <xf numFmtId="41" fontId="9" fillId="0" borderId="2" xfId="6" applyNumberFormat="1" applyFont="1" applyBorder="1" applyAlignment="1">
      <alignment horizontal="center" vertical="center"/>
    </xf>
    <xf numFmtId="0" fontId="5" fillId="0" borderId="0" xfId="6" applyFont="1" applyAlignment="1">
      <alignment horizontal="left" vertical="top"/>
    </xf>
    <xf numFmtId="0" fontId="8" fillId="0" borderId="0" xfId="6" applyFont="1" applyAlignment="1">
      <alignment horizontal="left"/>
    </xf>
    <xf numFmtId="41" fontId="7" fillId="0" borderId="2" xfId="6" applyNumberFormat="1" applyFont="1" applyBorder="1" applyAlignment="1">
      <alignment horizontal="center" vertical="center"/>
    </xf>
    <xf numFmtId="0" fontId="1" fillId="0" borderId="0" xfId="6" applyAlignment="1">
      <alignment vertical="center"/>
    </xf>
    <xf numFmtId="0" fontId="4" fillId="0" borderId="0" xfId="6" applyFont="1" applyBorder="1"/>
    <xf numFmtId="41" fontId="12" fillId="0" borderId="0" xfId="6" applyNumberFormat="1" applyFont="1" applyAlignment="1">
      <alignment horizontal="center" vertical="center"/>
    </xf>
    <xf numFmtId="41" fontId="12" fillId="0" borderId="0" xfId="6" applyNumberFormat="1" applyFont="1" applyBorder="1" applyAlignment="1">
      <alignment horizontal="center" vertical="center"/>
    </xf>
    <xf numFmtId="41" fontId="12" fillId="0" borderId="6" xfId="6" applyNumberFormat="1" applyFont="1" applyBorder="1" applyAlignment="1">
      <alignment horizontal="center" vertical="center"/>
    </xf>
    <xf numFmtId="41" fontId="12" fillId="0" borderId="7" xfId="6" applyNumberFormat="1" applyFont="1" applyBorder="1" applyAlignment="1">
      <alignment horizontal="center" vertical="center"/>
    </xf>
    <xf numFmtId="41" fontId="12" fillId="0" borderId="2" xfId="6" applyNumberFormat="1" applyFont="1" applyBorder="1" applyAlignment="1">
      <alignment horizontal="center" vertical="center"/>
    </xf>
    <xf numFmtId="0" fontId="10" fillId="0" borderId="1" xfId="6" applyFont="1" applyBorder="1" applyAlignment="1">
      <alignment horizontal="left" vertical="center"/>
    </xf>
    <xf numFmtId="0" fontId="10" fillId="0" borderId="8" xfId="6" applyFont="1" applyBorder="1" applyAlignment="1">
      <alignment horizontal="left" vertical="center"/>
    </xf>
    <xf numFmtId="41" fontId="4" fillId="0" borderId="0" xfId="6" applyNumberFormat="1" applyFont="1" applyAlignment="1">
      <alignment vertical="center"/>
    </xf>
    <xf numFmtId="0" fontId="10" fillId="0" borderId="9" xfId="6" applyFont="1" applyBorder="1" applyAlignment="1">
      <alignment horizontal="left" vertical="center"/>
    </xf>
    <xf numFmtId="176" fontId="4" fillId="0" borderId="0" xfId="6" applyNumberFormat="1" applyFont="1" applyAlignment="1">
      <alignment vertical="center"/>
    </xf>
    <xf numFmtId="0" fontId="5" fillId="0" borderId="0" xfId="6" applyFont="1" applyFill="1" applyAlignment="1">
      <alignment vertical="center"/>
    </xf>
    <xf numFmtId="43" fontId="4" fillId="0" borderId="0" xfId="6" applyNumberFormat="1" applyFont="1"/>
    <xf numFmtId="0" fontId="4" fillId="0" borderId="1" xfId="6" applyFont="1" applyBorder="1" applyAlignment="1">
      <alignment horizontal="left" vertical="center"/>
    </xf>
    <xf numFmtId="0" fontId="4" fillId="0" borderId="8" xfId="6" applyFont="1" applyBorder="1" applyAlignment="1">
      <alignment horizontal="left" vertical="center"/>
    </xf>
    <xf numFmtId="0" fontId="4" fillId="0" borderId="9" xfId="6" applyFont="1" applyBorder="1" applyAlignment="1">
      <alignment horizontal="left" vertical="center"/>
    </xf>
    <xf numFmtId="43" fontId="12" fillId="0" borderId="2" xfId="6" applyNumberFormat="1" applyFont="1" applyBorder="1" applyAlignment="1">
      <alignment horizontal="center" vertical="center"/>
    </xf>
    <xf numFmtId="0" fontId="9" fillId="0" borderId="0" xfId="6" applyFont="1" applyBorder="1" applyAlignment="1">
      <alignment vertical="center"/>
    </xf>
    <xf numFmtId="41" fontId="7" fillId="0" borderId="7" xfId="6" applyNumberFormat="1" applyFont="1" applyBorder="1" applyAlignment="1">
      <alignment horizontal="center" vertical="center"/>
    </xf>
    <xf numFmtId="41" fontId="7" fillId="0" borderId="6" xfId="6" applyNumberFormat="1" applyFont="1" applyBorder="1" applyAlignment="1">
      <alignment horizontal="center" vertical="center"/>
    </xf>
    <xf numFmtId="0" fontId="5" fillId="0" borderId="0" xfId="6" applyFont="1" applyAlignment="1">
      <alignment vertical="top"/>
    </xf>
    <xf numFmtId="0" fontId="5" fillId="0" borderId="0" xfId="6" applyFont="1" applyBorder="1" applyAlignment="1">
      <alignment horizontal="right"/>
    </xf>
    <xf numFmtId="0" fontId="5" fillId="0" borderId="1" xfId="6" applyFont="1" applyBorder="1" applyAlignment="1">
      <alignment horizontal="left" vertical="center"/>
    </xf>
    <xf numFmtId="0" fontId="1" fillId="0" borderId="6" xfId="6" applyBorder="1"/>
    <xf numFmtId="0" fontId="2" fillId="0" borderId="0" xfId="6" applyFont="1" applyAlignment="1"/>
    <xf numFmtId="0" fontId="5" fillId="0" borderId="2" xfId="2" applyFont="1" applyBorder="1" applyAlignment="1">
      <alignment horizontal="right"/>
    </xf>
    <xf numFmtId="0" fontId="4" fillId="0" borderId="10" xfId="6" applyFont="1" applyBorder="1" applyAlignment="1">
      <alignment vertical="center"/>
    </xf>
    <xf numFmtId="0" fontId="0" fillId="0" borderId="10" xfId="0" applyBorder="1" applyAlignment="1"/>
    <xf numFmtId="0" fontId="0" fillId="0" borderId="11" xfId="0" applyBorder="1" applyAlignment="1"/>
    <xf numFmtId="0" fontId="10" fillId="0" borderId="8" xfId="6" applyFont="1" applyBorder="1" applyAlignment="1">
      <alignment horizontal="center" vertical="center"/>
    </xf>
    <xf numFmtId="0" fontId="12" fillId="0" borderId="8" xfId="6" applyFont="1" applyBorder="1" applyAlignment="1">
      <alignment horizontal="left" vertical="center"/>
    </xf>
    <xf numFmtId="0" fontId="4" fillId="0" borderId="0" xfId="3"/>
    <xf numFmtId="0" fontId="5" fillId="0" borderId="0" xfId="4" applyFont="1" applyAlignment="1">
      <alignment vertical="center"/>
    </xf>
    <xf numFmtId="0" fontId="7" fillId="0" borderId="0" xfId="4"/>
    <xf numFmtId="43" fontId="12" fillId="0" borderId="6" xfId="6" applyNumberFormat="1" applyFont="1" applyBorder="1" applyAlignment="1">
      <alignment horizontal="center" vertical="center"/>
    </xf>
    <xf numFmtId="43" fontId="12" fillId="0" borderId="0" xfId="6" applyNumberFormat="1" applyFont="1" applyBorder="1" applyAlignment="1">
      <alignment horizontal="center" vertical="center"/>
    </xf>
    <xf numFmtId="41" fontId="12" fillId="0" borderId="6" xfId="6" applyNumberFormat="1" applyFont="1" applyBorder="1" applyAlignment="1">
      <alignment vertical="center"/>
    </xf>
    <xf numFmtId="41" fontId="12" fillId="0" borderId="0" xfId="6" applyNumberFormat="1" applyFont="1" applyBorder="1" applyAlignment="1">
      <alignment vertical="center"/>
    </xf>
    <xf numFmtId="43" fontId="12" fillId="0" borderId="0" xfId="6" applyNumberFormat="1" applyFont="1" applyBorder="1" applyAlignment="1">
      <alignment vertical="center"/>
    </xf>
    <xf numFmtId="41" fontId="12" fillId="0" borderId="2" xfId="6" applyNumberFormat="1" applyFont="1" applyBorder="1" applyAlignment="1">
      <alignment vertical="center"/>
    </xf>
    <xf numFmtId="43" fontId="7" fillId="0" borderId="6" xfId="6" applyNumberFormat="1" applyFont="1" applyBorder="1" applyAlignment="1">
      <alignment horizontal="center" vertical="center"/>
    </xf>
    <xf numFmtId="43" fontId="7" fillId="0" borderId="0" xfId="6" applyNumberFormat="1" applyFont="1" applyBorder="1" applyAlignment="1">
      <alignment horizontal="center" vertical="center"/>
    </xf>
    <xf numFmtId="43" fontId="7" fillId="0" borderId="7" xfId="6" applyNumberFormat="1" applyFont="1" applyBorder="1" applyAlignment="1">
      <alignment horizontal="center" vertical="center"/>
    </xf>
    <xf numFmtId="43" fontId="7" fillId="0" borderId="2" xfId="6" applyNumberFormat="1" applyFont="1" applyBorder="1" applyAlignment="1">
      <alignment horizontal="center" vertical="center"/>
    </xf>
    <xf numFmtId="43" fontId="4" fillId="0" borderId="0" xfId="6" applyNumberFormat="1" applyFont="1" applyBorder="1"/>
    <xf numFmtId="43" fontId="5" fillId="0" borderId="0" xfId="6" applyNumberFormat="1" applyFont="1" applyAlignment="1">
      <alignment vertical="center"/>
    </xf>
    <xf numFmtId="177" fontId="7" fillId="0" borderId="0" xfId="6" applyNumberFormat="1" applyFont="1" applyBorder="1" applyAlignment="1">
      <alignment horizontal="center" vertical="center"/>
    </xf>
    <xf numFmtId="43" fontId="12" fillId="0" borderId="2" xfId="6" applyNumberFormat="1" applyFont="1" applyBorder="1" applyAlignment="1">
      <alignment vertical="center"/>
    </xf>
    <xf numFmtId="176" fontId="12" fillId="0" borderId="5" xfId="6" applyNumberFormat="1" applyFont="1" applyBorder="1" applyAlignment="1">
      <alignment horizontal="right" vertical="center"/>
    </xf>
    <xf numFmtId="176" fontId="12" fillId="0" borderId="10" xfId="6" applyNumberFormat="1" applyFont="1" applyBorder="1" applyAlignment="1">
      <alignment horizontal="right" vertical="center"/>
    </xf>
    <xf numFmtId="41" fontId="9" fillId="0" borderId="0" xfId="6" applyNumberFormat="1" applyFont="1" applyBorder="1" applyAlignment="1">
      <alignment horizontal="right" vertical="center"/>
    </xf>
    <xf numFmtId="41" fontId="9" fillId="0" borderId="6" xfId="6" applyNumberFormat="1" applyFont="1" applyBorder="1" applyAlignment="1">
      <alignment horizontal="right" vertical="center"/>
    </xf>
    <xf numFmtId="41" fontId="9" fillId="0" borderId="2" xfId="6" applyNumberFormat="1" applyFont="1" applyBorder="1" applyAlignment="1">
      <alignment horizontal="right" vertical="center"/>
    </xf>
    <xf numFmtId="0" fontId="9" fillId="0" borderId="0" xfId="6" applyFont="1" applyAlignment="1">
      <alignment vertical="center"/>
    </xf>
    <xf numFmtId="41" fontId="5" fillId="0" borderId="0" xfId="6" applyNumberFormat="1" applyFont="1" applyAlignment="1">
      <alignment horizontal="right" vertical="center"/>
    </xf>
    <xf numFmtId="0" fontId="4" fillId="0" borderId="0" xfId="3" applyFont="1"/>
    <xf numFmtId="41" fontId="9" fillId="0" borderId="2" xfId="3" applyNumberFormat="1" applyFont="1" applyFill="1" applyBorder="1" applyAlignment="1">
      <alignment horizontal="center" vertical="center"/>
    </xf>
    <xf numFmtId="41" fontId="9" fillId="0" borderId="0" xfId="3" applyNumberFormat="1" applyFont="1" applyFill="1" applyBorder="1" applyAlignment="1">
      <alignment horizontal="center" vertical="center"/>
    </xf>
    <xf numFmtId="41" fontId="14" fillId="0" borderId="6" xfId="6" applyNumberFormat="1" applyFont="1" applyBorder="1" applyAlignment="1">
      <alignment vertical="center"/>
    </xf>
    <xf numFmtId="41" fontId="14" fillId="0" borderId="2" xfId="6" applyNumberFormat="1" applyFont="1" applyBorder="1" applyAlignment="1">
      <alignment vertical="center"/>
    </xf>
    <xf numFmtId="41" fontId="4" fillId="0" borderId="0" xfId="6" applyNumberFormat="1" applyFont="1" applyBorder="1" applyAlignment="1">
      <alignment vertical="center"/>
    </xf>
    <xf numFmtId="0" fontId="5" fillId="0" borderId="8" xfId="6" applyFont="1" applyBorder="1" applyAlignment="1">
      <alignment horizontal="center" vertical="center" wrapText="1"/>
    </xf>
    <xf numFmtId="0" fontId="7" fillId="0" borderId="0" xfId="4" applyFont="1"/>
    <xf numFmtId="0" fontId="5" fillId="0" borderId="0" xfId="6" applyFont="1" applyBorder="1" applyAlignment="1">
      <alignment horizontal="left" vertical="center"/>
    </xf>
    <xf numFmtId="41" fontId="5" fillId="0" borderId="3" xfId="6" applyNumberFormat="1" applyFont="1" applyBorder="1" applyAlignment="1">
      <alignment vertical="center"/>
    </xf>
    <xf numFmtId="41" fontId="7" fillId="0" borderId="10" xfId="6" applyNumberFormat="1" applyFont="1" applyBorder="1" applyAlignment="1">
      <alignment horizontal="center" vertical="center"/>
    </xf>
    <xf numFmtId="41" fontId="9" fillId="0" borderId="6" xfId="3" applyNumberFormat="1" applyFont="1" applyFill="1" applyBorder="1" applyAlignment="1">
      <alignment horizontal="center" vertical="center"/>
    </xf>
    <xf numFmtId="0" fontId="10" fillId="0" borderId="11" xfId="6" applyFont="1" applyBorder="1" applyAlignment="1">
      <alignment horizontal="center" vertical="center"/>
    </xf>
    <xf numFmtId="0" fontId="10" fillId="0" borderId="9" xfId="6" applyFont="1" applyBorder="1" applyAlignment="1">
      <alignment horizontal="center" vertical="center"/>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4" fillId="0" borderId="2" xfId="6" applyFont="1" applyBorder="1" applyAlignment="1"/>
    <xf numFmtId="0" fontId="4" fillId="0" borderId="9" xfId="6" applyFont="1" applyBorder="1" applyAlignment="1">
      <alignment horizontal="center" vertical="center"/>
    </xf>
    <xf numFmtId="0" fontId="4" fillId="0" borderId="11" xfId="6" applyFont="1" applyBorder="1" applyAlignment="1">
      <alignment horizontal="center" vertical="center" wrapText="1"/>
    </xf>
    <xf numFmtId="0" fontId="4" fillId="0" borderId="5" xfId="6" applyFont="1" applyBorder="1" applyAlignment="1">
      <alignment horizontal="center" vertical="center"/>
    </xf>
    <xf numFmtId="0" fontId="5" fillId="0" borderId="0" xfId="6" applyFont="1" applyBorder="1" applyAlignment="1">
      <alignment vertical="center"/>
    </xf>
    <xf numFmtId="0" fontId="4" fillId="0" borderId="12" xfId="6" applyFont="1" applyBorder="1" applyAlignment="1">
      <alignment horizontal="center" vertical="center"/>
    </xf>
    <xf numFmtId="0" fontId="2" fillId="0" borderId="0" xfId="6" applyFont="1" applyAlignment="1">
      <alignment horizontal="left"/>
    </xf>
    <xf numFmtId="0" fontId="4" fillId="0" borderId="10" xfId="6" applyFont="1" applyBorder="1" applyAlignment="1">
      <alignment horizontal="center" vertical="center" wrapText="1"/>
    </xf>
    <xf numFmtId="0" fontId="5" fillId="0" borderId="3" xfId="6" applyFont="1" applyBorder="1" applyAlignment="1">
      <alignment vertical="center"/>
    </xf>
    <xf numFmtId="0" fontId="10" fillId="0" borderId="4" xfId="6" applyFont="1" applyBorder="1" applyAlignment="1">
      <alignment horizontal="center" vertical="center" wrapText="1"/>
    </xf>
    <xf numFmtId="0" fontId="10" fillId="0" borderId="4" xfId="6" applyFont="1" applyBorder="1" applyAlignment="1">
      <alignment horizontal="center" vertical="center"/>
    </xf>
    <xf numFmtId="0" fontId="5" fillId="0" borderId="8" xfId="6" applyFont="1" applyBorder="1" applyAlignment="1">
      <alignment horizontal="center" vertical="center"/>
    </xf>
    <xf numFmtId="0" fontId="4" fillId="0" borderId="8" xfId="6" applyFont="1" applyBorder="1" applyAlignment="1">
      <alignment horizontal="center" vertical="center"/>
    </xf>
    <xf numFmtId="0" fontId="5" fillId="0" borderId="2" xfId="6" applyFont="1" applyBorder="1" applyAlignment="1">
      <alignment horizontal="right"/>
    </xf>
    <xf numFmtId="41" fontId="5" fillId="0" borderId="0" xfId="6" applyNumberFormat="1" applyFont="1"/>
    <xf numFmtId="41" fontId="1" fillId="0" borderId="0" xfId="6" applyNumberFormat="1" applyBorder="1"/>
    <xf numFmtId="41" fontId="1" fillId="0" borderId="0" xfId="6" applyNumberFormat="1"/>
    <xf numFmtId="41" fontId="6" fillId="0" borderId="0" xfId="6" applyNumberFormat="1" applyFont="1" applyBorder="1"/>
    <xf numFmtId="41" fontId="5" fillId="0" borderId="0" xfId="4" applyNumberFormat="1" applyFont="1" applyAlignment="1">
      <alignment vertical="center"/>
    </xf>
    <xf numFmtId="43" fontId="5" fillId="0" borderId="0" xfId="6" applyNumberFormat="1" applyFont="1" applyBorder="1" applyAlignment="1">
      <alignment vertical="center"/>
    </xf>
    <xf numFmtId="0" fontId="4" fillId="0" borderId="0" xfId="3" applyFont="1" applyFill="1"/>
    <xf numFmtId="0" fontId="4" fillId="0" borderId="0" xfId="3" applyFont="1" applyFill="1" applyBorder="1"/>
    <xf numFmtId="3" fontId="10" fillId="0" borderId="8" xfId="3" applyNumberFormat="1" applyFont="1" applyFill="1" applyBorder="1" applyAlignment="1">
      <alignment horizontal="center" vertical="center"/>
    </xf>
    <xf numFmtId="3" fontId="15" fillId="0" borderId="0" xfId="3" applyNumberFormat="1" applyFont="1" applyFill="1" applyBorder="1" applyAlignment="1">
      <alignment horizontal="right"/>
    </xf>
    <xf numFmtId="0" fontId="15" fillId="0" borderId="0" xfId="3" applyFont="1" applyFill="1"/>
    <xf numFmtId="3" fontId="16" fillId="0" borderId="0" xfId="3" applyNumberFormat="1" applyFont="1" applyFill="1" applyBorder="1" applyAlignment="1">
      <alignment horizontal="right"/>
    </xf>
    <xf numFmtId="0" fontId="16" fillId="0" borderId="0" xfId="3" applyFont="1" applyFill="1"/>
    <xf numFmtId="3" fontId="10" fillId="0" borderId="8" xfId="3" applyNumberFormat="1" applyFont="1" applyFill="1" applyBorder="1" applyAlignment="1">
      <alignment horizontal="center" vertical="center" wrapText="1"/>
    </xf>
    <xf numFmtId="3" fontId="4" fillId="0" borderId="0" xfId="3" applyNumberFormat="1" applyFont="1" applyFill="1" applyBorder="1" applyAlignment="1">
      <alignment horizontal="right"/>
    </xf>
    <xf numFmtId="3" fontId="10" fillId="0" borderId="9" xfId="3" applyNumberFormat="1" applyFont="1" applyFill="1" applyBorder="1" applyAlignment="1">
      <alignment horizontal="center" vertical="center" wrapText="1"/>
    </xf>
    <xf numFmtId="0" fontId="17" fillId="0" borderId="0" xfId="3" applyFont="1" applyFill="1"/>
    <xf numFmtId="0" fontId="7" fillId="0" borderId="0" xfId="3" applyFont="1" applyFill="1"/>
    <xf numFmtId="0" fontId="5" fillId="0" borderId="0" xfId="3" applyFont="1" applyFill="1" applyBorder="1" applyAlignment="1">
      <alignment horizontal="left" vertical="center" wrapText="1"/>
    </xf>
    <xf numFmtId="41" fontId="5" fillId="0" borderId="0" xfId="3" applyNumberFormat="1" applyFont="1" applyFill="1" applyBorder="1" applyAlignment="1">
      <alignment horizontal="left" vertical="center" wrapText="1"/>
    </xf>
    <xf numFmtId="41" fontId="18" fillId="0" borderId="0" xfId="3" applyNumberFormat="1" applyFont="1" applyFill="1"/>
    <xf numFmtId="0" fontId="18" fillId="0" borderId="0" xfId="3" applyFont="1" applyFill="1"/>
    <xf numFmtId="41" fontId="9" fillId="0" borderId="7" xfId="3" applyNumberFormat="1" applyFont="1" applyFill="1" applyBorder="1" applyAlignment="1">
      <alignment horizontal="center" vertical="center"/>
    </xf>
    <xf numFmtId="41" fontId="14" fillId="0" borderId="2" xfId="6" applyNumberFormat="1" applyFont="1" applyBorder="1" applyAlignment="1">
      <alignment horizontal="right" vertical="center"/>
    </xf>
    <xf numFmtId="0" fontId="4" fillId="0" borderId="2" xfId="6" applyFont="1" applyBorder="1"/>
    <xf numFmtId="0" fontId="18" fillId="0" borderId="2" xfId="3" applyFont="1" applyFill="1" applyBorder="1"/>
    <xf numFmtId="0" fontId="7" fillId="0" borderId="2" xfId="4" applyBorder="1"/>
    <xf numFmtId="41" fontId="4" fillId="0" borderId="0" xfId="6" applyNumberFormat="1" applyFont="1"/>
    <xf numFmtId="41" fontId="14" fillId="0" borderId="3" xfId="6" applyNumberFormat="1" applyFont="1" applyBorder="1" applyAlignment="1">
      <alignment horizontal="right" vertical="center"/>
    </xf>
    <xf numFmtId="0" fontId="5" fillId="0" borderId="9" xfId="6" applyFont="1" applyBorder="1" applyAlignment="1">
      <alignment horizontal="center" vertical="center"/>
    </xf>
    <xf numFmtId="0" fontId="10" fillId="0" borderId="5" xfId="6" applyFont="1" applyBorder="1" applyAlignment="1">
      <alignment horizontal="center" vertical="center"/>
    </xf>
    <xf numFmtId="0" fontId="10" fillId="0" borderId="11" xfId="6" applyFont="1" applyBorder="1" applyAlignment="1">
      <alignment horizontal="center" vertical="center" wrapText="1"/>
    </xf>
    <xf numFmtId="0" fontId="4" fillId="0" borderId="8" xfId="6" applyFont="1" applyFill="1" applyBorder="1" applyAlignment="1">
      <alignment horizontal="left" vertical="center"/>
    </xf>
    <xf numFmtId="41" fontId="6" fillId="0" borderId="0" xfId="6" applyNumberFormat="1" applyFont="1" applyFill="1" applyBorder="1"/>
    <xf numFmtId="0" fontId="6" fillId="0" borderId="0" xfId="6" applyFont="1" applyFill="1"/>
    <xf numFmtId="0" fontId="4" fillId="0" borderId="9" xfId="6" applyFont="1" applyFill="1" applyBorder="1" applyAlignment="1">
      <alignment horizontal="left" vertical="center"/>
    </xf>
    <xf numFmtId="0" fontId="4" fillId="0" borderId="8" xfId="6" applyFont="1" applyBorder="1" applyAlignment="1">
      <alignment horizontal="left" vertical="center" wrapText="1"/>
    </xf>
    <xf numFmtId="0" fontId="4" fillId="0" borderId="10" xfId="6" applyFont="1" applyBorder="1" applyAlignment="1">
      <alignment horizontal="center" vertical="center"/>
    </xf>
    <xf numFmtId="0" fontId="4" fillId="0" borderId="8" xfId="6" applyFont="1" applyFill="1" applyBorder="1" applyAlignment="1">
      <alignment horizontal="right" vertical="center"/>
    </xf>
    <xf numFmtId="43" fontId="12" fillId="0" borderId="0" xfId="6" applyNumberFormat="1" applyFont="1" applyFill="1" applyBorder="1" applyAlignment="1">
      <alignment horizontal="center" vertical="center"/>
    </xf>
    <xf numFmtId="0" fontId="10" fillId="0" borderId="8" xfId="6" applyFont="1" applyFill="1" applyBorder="1" applyAlignment="1">
      <alignment horizontal="center" vertical="center"/>
    </xf>
    <xf numFmtId="41" fontId="12" fillId="0" borderId="0" xfId="6" applyNumberFormat="1" applyFont="1" applyFill="1" applyBorder="1" applyAlignment="1">
      <alignment horizontal="center" vertical="center"/>
    </xf>
    <xf numFmtId="0" fontId="10" fillId="0" borderId="9" xfId="6" applyFont="1" applyFill="1" applyBorder="1" applyAlignment="1">
      <alignment horizontal="center" vertical="center"/>
    </xf>
    <xf numFmtId="41" fontId="6" fillId="0" borderId="0" xfId="6" applyNumberFormat="1" applyFont="1"/>
    <xf numFmtId="0" fontId="10" fillId="0" borderId="5" xfId="6" applyFont="1" applyBorder="1" applyAlignment="1">
      <alignment horizontal="center" vertical="center" wrapText="1"/>
    </xf>
    <xf numFmtId="0" fontId="10" fillId="0" borderId="11" xfId="6" applyFont="1" applyBorder="1" applyAlignment="1">
      <alignment horizontal="center" vertical="center" wrapText="1"/>
    </xf>
    <xf numFmtId="0" fontId="10" fillId="0" borderId="11" xfId="6" applyFont="1" applyBorder="1" applyAlignment="1">
      <alignment horizontal="center" vertical="center"/>
    </xf>
    <xf numFmtId="0" fontId="10" fillId="0" borderId="1" xfId="6" applyFont="1" applyBorder="1" applyAlignment="1">
      <alignment horizontal="center" vertical="center"/>
    </xf>
    <xf numFmtId="0" fontId="10" fillId="0" borderId="9" xfId="6" applyFont="1" applyBorder="1" applyAlignment="1">
      <alignment horizontal="center" vertical="center"/>
    </xf>
    <xf numFmtId="0" fontId="5" fillId="0" borderId="1" xfId="6" applyFont="1" applyBorder="1" applyAlignment="1">
      <alignment horizontal="center" vertical="center"/>
    </xf>
    <xf numFmtId="0" fontId="10" fillId="0" borderId="4" xfId="6" applyFont="1" applyBorder="1" applyAlignment="1">
      <alignment horizontal="center" vertical="center" wrapText="1"/>
    </xf>
    <xf numFmtId="0" fontId="5" fillId="0" borderId="8" xfId="6" applyFont="1" applyBorder="1" applyAlignment="1">
      <alignment horizontal="center" vertical="center"/>
    </xf>
    <xf numFmtId="0" fontId="4" fillId="0" borderId="9" xfId="6" applyFont="1" applyBorder="1" applyAlignment="1">
      <alignment horizontal="center" vertical="center"/>
    </xf>
    <xf numFmtId="0" fontId="5" fillId="0" borderId="8" xfId="6" applyFont="1" applyBorder="1" applyAlignment="1">
      <alignment horizontal="center" vertical="center"/>
    </xf>
    <xf numFmtId="0" fontId="4" fillId="0" borderId="8" xfId="6" applyFont="1" applyBorder="1" applyAlignment="1">
      <alignment horizontal="center" vertical="center"/>
    </xf>
    <xf numFmtId="0" fontId="2" fillId="0" borderId="0" xfId="6" applyFont="1" applyAlignment="1">
      <alignment horizontal="left" vertical="center"/>
    </xf>
    <xf numFmtId="0" fontId="2" fillId="0" borderId="0" xfId="6" applyFont="1" applyAlignment="1">
      <alignment horizontal="center" vertical="center"/>
    </xf>
    <xf numFmtId="0" fontId="5" fillId="0" borderId="8" xfId="6" applyFont="1" applyFill="1" applyBorder="1" applyAlignment="1">
      <alignment horizontal="right" vertical="center"/>
    </xf>
    <xf numFmtId="0" fontId="10" fillId="0" borderId="8" xfId="6" applyFont="1" applyFill="1" applyBorder="1" applyAlignment="1">
      <alignment horizontal="right" vertical="center"/>
    </xf>
    <xf numFmtId="41" fontId="5" fillId="0" borderId="0" xfId="6" applyNumberFormat="1" applyFont="1" applyAlignment="1">
      <alignment vertical="center"/>
    </xf>
    <xf numFmtId="41" fontId="14" fillId="0" borderId="3" xfId="6" applyNumberFormat="1" applyFont="1" applyBorder="1" applyAlignment="1">
      <alignment horizontal="center" vertical="center"/>
    </xf>
    <xf numFmtId="43" fontId="14" fillId="0" borderId="0" xfId="6" applyNumberFormat="1" applyFont="1" applyAlignment="1">
      <alignment horizontal="center" vertical="center"/>
    </xf>
    <xf numFmtId="41" fontId="14" fillId="0" borderId="0" xfId="6" applyNumberFormat="1" applyFont="1" applyAlignment="1">
      <alignment horizontal="center" vertical="center"/>
    </xf>
    <xf numFmtId="0" fontId="10" fillId="0" borderId="8" xfId="6" applyFont="1" applyBorder="1" applyAlignment="1">
      <alignment horizontal="center" vertical="center" wrapText="1"/>
    </xf>
    <xf numFmtId="177" fontId="14" fillId="0" borderId="0" xfId="6" applyNumberFormat="1" applyFont="1" applyAlignment="1">
      <alignment horizontal="center" vertical="center"/>
    </xf>
    <xf numFmtId="178" fontId="14" fillId="0" borderId="0" xfId="6" applyNumberFormat="1" applyFont="1" applyAlignment="1">
      <alignment horizontal="right" vertical="center"/>
    </xf>
    <xf numFmtId="178" fontId="14" fillId="0" borderId="6" xfId="6" applyNumberFormat="1" applyFont="1" applyBorder="1" applyAlignment="1">
      <alignment horizontal="right" vertical="center"/>
    </xf>
    <xf numFmtId="178" fontId="14" fillId="0" borderId="7" xfId="6" applyNumberFormat="1" applyFont="1" applyBorder="1" applyAlignment="1">
      <alignment horizontal="right" vertical="center"/>
    </xf>
    <xf numFmtId="178" fontId="14" fillId="0" borderId="2" xfId="6" applyNumberFormat="1" applyFont="1" applyBorder="1" applyAlignment="1">
      <alignment horizontal="right" vertical="center"/>
    </xf>
    <xf numFmtId="43" fontId="14" fillId="0" borderId="2" xfId="6" applyNumberFormat="1" applyFont="1" applyBorder="1" applyAlignment="1">
      <alignment horizontal="center" vertical="center"/>
    </xf>
    <xf numFmtId="178" fontId="8" fillId="0" borderId="0" xfId="6" applyNumberFormat="1" applyFont="1"/>
    <xf numFmtId="178" fontId="8" fillId="0" borderId="0" xfId="6" applyNumberFormat="1" applyFont="1" applyAlignment="1">
      <alignment vertical="center"/>
    </xf>
    <xf numFmtId="43" fontId="12" fillId="0" borderId="7" xfId="6" applyNumberFormat="1" applyFont="1" applyFill="1" applyBorder="1" applyAlignment="1">
      <alignment horizontal="center" vertical="center"/>
    </xf>
    <xf numFmtId="43" fontId="12" fillId="0" borderId="2" xfId="6" applyNumberFormat="1" applyFont="1" applyFill="1" applyBorder="1" applyAlignment="1">
      <alignment horizontal="center" vertical="center"/>
    </xf>
    <xf numFmtId="41" fontId="12" fillId="0" borderId="2" xfId="6" applyNumberFormat="1" applyFont="1" applyFill="1" applyBorder="1" applyAlignment="1">
      <alignment horizontal="center" vertical="center"/>
    </xf>
    <xf numFmtId="41" fontId="12" fillId="0" borderId="7" xfId="6" applyNumberFormat="1" applyFont="1" applyFill="1" applyBorder="1" applyAlignment="1">
      <alignment horizontal="center" vertical="center"/>
    </xf>
    <xf numFmtId="0" fontId="2" fillId="0" borderId="0" xfId="6" applyFont="1" applyAlignment="1">
      <alignment vertical="center"/>
    </xf>
    <xf numFmtId="41" fontId="14" fillId="0" borderId="0" xfId="6" applyNumberFormat="1" applyFont="1" applyAlignment="1">
      <alignment vertical="center"/>
    </xf>
    <xf numFmtId="41" fontId="14" fillId="0" borderId="0" xfId="6" applyNumberFormat="1" applyFont="1" applyAlignment="1">
      <alignment horizontal="right" vertical="center"/>
    </xf>
    <xf numFmtId="0" fontId="14" fillId="0" borderId="0" xfId="9" applyFont="1" applyAlignment="1">
      <alignment horizontal="right" vertical="center" wrapText="1"/>
    </xf>
    <xf numFmtId="3" fontId="14" fillId="0" borderId="0" xfId="9" applyNumberFormat="1" applyFont="1" applyAlignment="1">
      <alignment horizontal="right" vertical="center" wrapText="1"/>
    </xf>
    <xf numFmtId="41" fontId="14" fillId="0" borderId="6" xfId="6" applyNumberFormat="1" applyFont="1" applyBorder="1" applyAlignment="1">
      <alignment horizontal="right" vertical="center"/>
    </xf>
    <xf numFmtId="0" fontId="5" fillId="0" borderId="0" xfId="4" applyFont="1"/>
    <xf numFmtId="41" fontId="14" fillId="0" borderId="7" xfId="6" applyNumberFormat="1" applyFont="1" applyBorder="1" applyAlignment="1">
      <alignment horizontal="right" vertical="center"/>
    </xf>
    <xf numFmtId="41" fontId="7" fillId="0" borderId="0" xfId="4" applyNumberFormat="1" applyFont="1"/>
    <xf numFmtId="179" fontId="32" fillId="0" borderId="0" xfId="0" applyNumberFormat="1" applyFont="1" applyAlignment="1">
      <alignment horizontal="center" vertical="center"/>
    </xf>
    <xf numFmtId="0" fontId="33" fillId="0" borderId="0" xfId="0" applyFont="1"/>
    <xf numFmtId="0" fontId="35" fillId="0" borderId="0" xfId="0" applyFont="1"/>
    <xf numFmtId="0" fontId="37" fillId="0" borderId="0" xfId="0" applyFont="1"/>
    <xf numFmtId="0" fontId="38" fillId="0" borderId="2" xfId="12" applyFont="1" applyBorder="1" applyAlignment="1">
      <alignment horizontal="center"/>
    </xf>
    <xf numFmtId="180" fontId="39" fillId="0" borderId="4" xfId="12" applyNumberFormat="1" applyFont="1" applyBorder="1" applyAlignment="1">
      <alignment horizontal="center" vertical="center"/>
    </xf>
    <xf numFmtId="180" fontId="39" fillId="0" borderId="4" xfId="12" applyNumberFormat="1" applyFont="1" applyBorder="1" applyAlignment="1">
      <alignment horizontal="center" vertical="center" wrapText="1"/>
    </xf>
    <xf numFmtId="181" fontId="41" fillId="0" borderId="4" xfId="0" applyNumberFormat="1" applyFont="1" applyBorder="1" applyAlignment="1">
      <alignment horizontal="right" vertical="center" indent="1"/>
    </xf>
    <xf numFmtId="181" fontId="41" fillId="0" borderId="10" xfId="0" applyNumberFormat="1" applyFont="1" applyBorder="1" applyAlignment="1">
      <alignment horizontal="right" vertical="center" indent="1"/>
    </xf>
    <xf numFmtId="180" fontId="41" fillId="0" borderId="4" xfId="0" applyNumberFormat="1" applyFont="1" applyBorder="1" applyAlignment="1">
      <alignment horizontal="right" vertical="center" indent="1"/>
    </xf>
    <xf numFmtId="0" fontId="39" fillId="0" borderId="4" xfId="0" applyFont="1" applyBorder="1" applyAlignment="1">
      <alignment horizontal="center" vertical="center" wrapText="1"/>
    </xf>
    <xf numFmtId="181" fontId="41" fillId="0" borderId="10" xfId="0" applyNumberFormat="1" applyFont="1" applyBorder="1" applyAlignment="1">
      <alignment horizontal="right" vertical="center" wrapText="1" indent="1"/>
    </xf>
    <xf numFmtId="181" fontId="41" fillId="0" borderId="4" xfId="10" applyNumberFormat="1" applyFont="1" applyBorder="1" applyAlignment="1">
      <alignment horizontal="right" vertical="center" indent="1"/>
    </xf>
    <xf numFmtId="181" fontId="41" fillId="0" borderId="4" xfId="0" applyNumberFormat="1" applyFont="1" applyBorder="1" applyAlignment="1">
      <alignment horizontal="right" vertical="center" wrapText="1" indent="1"/>
    </xf>
    <xf numFmtId="0" fontId="42" fillId="0" borderId="0" xfId="0" applyFont="1"/>
    <xf numFmtId="0" fontId="5" fillId="0" borderId="0" xfId="0" applyFont="1"/>
    <xf numFmtId="180" fontId="5" fillId="0" borderId="0" xfId="0" applyNumberFormat="1" applyFont="1"/>
    <xf numFmtId="0" fontId="0" fillId="0" borderId="2" xfId="0" applyBorder="1"/>
    <xf numFmtId="180" fontId="4" fillId="0" borderId="0" xfId="0" applyNumberFormat="1" applyFont="1"/>
    <xf numFmtId="0" fontId="17" fillId="0" borderId="0" xfId="13" applyFont="1"/>
    <xf numFmtId="0" fontId="4" fillId="0" borderId="0" xfId="13" applyFont="1"/>
    <xf numFmtId="0" fontId="4" fillId="0" borderId="0" xfId="13" applyFont="1" applyAlignment="1">
      <alignment horizontal="right"/>
    </xf>
    <xf numFmtId="0" fontId="5" fillId="0" borderId="0" xfId="13" applyFont="1"/>
    <xf numFmtId="0" fontId="43" fillId="0" borderId="0" xfId="13" applyFont="1"/>
    <xf numFmtId="0" fontId="7" fillId="0" borderId="0" xfId="13"/>
    <xf numFmtId="0" fontId="44" fillId="0" borderId="0" xfId="13" applyFont="1" applyAlignment="1">
      <alignment horizontal="center"/>
    </xf>
    <xf numFmtId="41" fontId="7" fillId="0" borderId="0" xfId="13" applyNumberFormat="1" applyAlignment="1">
      <alignment vertical="center"/>
    </xf>
    <xf numFmtId="41" fontId="7" fillId="0" borderId="0" xfId="13" applyNumberFormat="1" applyAlignment="1">
      <alignment horizontal="center" vertical="center"/>
    </xf>
    <xf numFmtId="177" fontId="7" fillId="0" borderId="0" xfId="13" applyNumberFormat="1" applyAlignment="1">
      <alignment horizontal="center" vertical="center"/>
    </xf>
    <xf numFmtId="177" fontId="7" fillId="0" borderId="0" xfId="13" applyNumberFormat="1" applyAlignment="1">
      <alignment vertical="center"/>
    </xf>
    <xf numFmtId="178" fontId="7" fillId="0" borderId="0" xfId="13" applyNumberFormat="1" applyAlignment="1">
      <alignment horizontal="right" vertical="center"/>
    </xf>
    <xf numFmtId="176" fontId="7" fillId="0" borderId="0" xfId="13" applyNumberFormat="1" applyAlignment="1">
      <alignment horizontal="right" vertical="center"/>
    </xf>
    <xf numFmtId="183" fontId="7" fillId="0" borderId="0" xfId="13" applyNumberFormat="1" applyAlignment="1">
      <alignment horizontal="right" vertical="center"/>
    </xf>
    <xf numFmtId="0" fontId="45" fillId="0" borderId="0" xfId="13" applyFont="1"/>
    <xf numFmtId="0" fontId="14" fillId="0" borderId="0" xfId="13" applyFont="1"/>
    <xf numFmtId="184" fontId="7" fillId="0" borderId="0" xfId="13" applyNumberFormat="1" applyAlignment="1">
      <alignment vertical="center"/>
    </xf>
    <xf numFmtId="184" fontId="7" fillId="0" borderId="0" xfId="0" applyNumberFormat="1" applyFont="1" applyAlignment="1">
      <alignment horizontal="right" vertical="center"/>
    </xf>
    <xf numFmtId="178" fontId="7" fillId="0" borderId="0" xfId="13" applyNumberFormat="1" applyAlignment="1">
      <alignment vertical="center"/>
    </xf>
    <xf numFmtId="185" fontId="7" fillId="0" borderId="0" xfId="13" applyNumberFormat="1" applyAlignment="1">
      <alignment horizontal="center" vertical="center"/>
    </xf>
    <xf numFmtId="186" fontId="7" fillId="0" borderId="0" xfId="7" applyNumberFormat="1" applyFont="1" applyBorder="1" applyAlignment="1">
      <alignment vertical="center"/>
    </xf>
    <xf numFmtId="177" fontId="7" fillId="0" borderId="0" xfId="13" applyNumberFormat="1" applyAlignment="1">
      <alignment horizontal="right" vertical="center"/>
    </xf>
    <xf numFmtId="186" fontId="7" fillId="0" borderId="0" xfId="13" applyNumberFormat="1" applyAlignment="1">
      <alignment vertical="center"/>
    </xf>
    <xf numFmtId="186" fontId="7" fillId="0" borderId="0" xfId="7" applyNumberFormat="1" applyFont="1" applyBorder="1" applyAlignment="1">
      <alignment horizontal="right" vertical="center"/>
    </xf>
    <xf numFmtId="186" fontId="7" fillId="0" borderId="0" xfId="7" applyNumberFormat="1" applyFont="1" applyFill="1" applyBorder="1" applyAlignment="1">
      <alignment vertical="center"/>
    </xf>
    <xf numFmtId="178" fontId="7" fillId="0" borderId="0" xfId="7" applyNumberFormat="1" applyFont="1" applyFill="1" applyBorder="1" applyAlignment="1">
      <alignment horizontal="right" vertical="center"/>
    </xf>
    <xf numFmtId="43" fontId="7" fillId="0" borderId="0" xfId="13" applyNumberFormat="1" applyAlignment="1">
      <alignment horizontal="center" vertical="center"/>
    </xf>
    <xf numFmtId="41" fontId="7" fillId="0" borderId="2" xfId="13" applyNumberFormat="1" applyBorder="1" applyAlignment="1">
      <alignment vertical="center"/>
    </xf>
    <xf numFmtId="177" fontId="7" fillId="0" borderId="2" xfId="13" applyNumberFormat="1" applyBorder="1" applyAlignment="1">
      <alignment horizontal="center" vertical="center"/>
    </xf>
    <xf numFmtId="177" fontId="7" fillId="0" borderId="2" xfId="13" applyNumberFormat="1" applyBorder="1" applyAlignment="1">
      <alignment horizontal="right" vertical="center"/>
    </xf>
    <xf numFmtId="176" fontId="7" fillId="0" borderId="2" xfId="13" applyNumberFormat="1" applyBorder="1" applyAlignment="1">
      <alignment horizontal="right" vertical="center"/>
    </xf>
    <xf numFmtId="179" fontId="1" fillId="0" borderId="0" xfId="13" applyNumberFormat="1" applyFont="1"/>
    <xf numFmtId="179" fontId="5" fillId="0" borderId="0" xfId="13" applyNumberFormat="1" applyFont="1" applyAlignment="1">
      <alignment vertical="center"/>
    </xf>
    <xf numFmtId="0" fontId="5" fillId="0" borderId="0" xfId="13" applyFont="1" applyAlignment="1">
      <alignment vertical="center"/>
    </xf>
    <xf numFmtId="0" fontId="10" fillId="0" borderId="0" xfId="6" applyFont="1" applyAlignment="1">
      <alignment vertical="center"/>
    </xf>
    <xf numFmtId="0" fontId="18" fillId="0" borderId="0" xfId="13" applyFont="1"/>
    <xf numFmtId="0" fontId="17" fillId="0" borderId="2" xfId="13" applyFont="1" applyBorder="1"/>
    <xf numFmtId="0" fontId="7" fillId="0" borderId="0" xfId="5"/>
    <xf numFmtId="0" fontId="44" fillId="0" borderId="0" xfId="5" applyFont="1" applyAlignment="1">
      <alignment horizontal="center"/>
    </xf>
    <xf numFmtId="0" fontId="4" fillId="0" borderId="4" xfId="5" applyFont="1" applyBorder="1" applyAlignment="1">
      <alignment horizontal="center" vertical="center"/>
    </xf>
    <xf numFmtId="0" fontId="5" fillId="0" borderId="5" xfId="5" applyFont="1" applyBorder="1" applyAlignment="1">
      <alignment horizontal="center" vertical="center" wrapText="1"/>
    </xf>
    <xf numFmtId="0" fontId="21" fillId="0" borderId="5" xfId="5" applyFont="1" applyBorder="1" applyAlignment="1">
      <alignment horizontal="center" vertical="center" wrapText="1"/>
    </xf>
    <xf numFmtId="0" fontId="5" fillId="0" borderId="11" xfId="5" applyFont="1" applyBorder="1" applyAlignment="1">
      <alignment horizontal="center" vertical="center" wrapText="1"/>
    </xf>
    <xf numFmtId="0" fontId="4" fillId="0" borderId="11" xfId="5" applyFont="1" applyBorder="1" applyAlignment="1">
      <alignment horizontal="center" vertical="center"/>
    </xf>
    <xf numFmtId="41" fontId="12" fillId="0" borderId="6" xfId="5" applyNumberFormat="1" applyFont="1" applyBorder="1" applyAlignment="1">
      <alignment horizontal="center" vertical="center"/>
    </xf>
    <xf numFmtId="41" fontId="12" fillId="0" borderId="0" xfId="5" applyNumberFormat="1" applyFont="1" applyAlignment="1">
      <alignment horizontal="center" vertical="center"/>
    </xf>
    <xf numFmtId="41" fontId="46" fillId="0" borderId="6" xfId="5" applyNumberFormat="1" applyFont="1" applyBorder="1" applyAlignment="1">
      <alignment horizontal="center" vertical="center"/>
    </xf>
    <xf numFmtId="0" fontId="4" fillId="0" borderId="0" xfId="6" applyFont="1" applyAlignment="1">
      <alignment horizontal="center" vertical="center"/>
    </xf>
    <xf numFmtId="0" fontId="4" fillId="0" borderId="2" xfId="6" applyFont="1" applyBorder="1" applyAlignment="1">
      <alignment horizontal="center" vertical="center"/>
    </xf>
    <xf numFmtId="41" fontId="46" fillId="0" borderId="7" xfId="5" applyNumberFormat="1" applyFont="1" applyBorder="1" applyAlignment="1">
      <alignment horizontal="center" vertical="center"/>
    </xf>
    <xf numFmtId="41" fontId="12" fillId="0" borderId="2" xfId="5" applyNumberFormat="1" applyFont="1" applyBorder="1" applyAlignment="1">
      <alignment horizontal="center" vertical="center"/>
    </xf>
    <xf numFmtId="41" fontId="46" fillId="0" borderId="2" xfId="5" applyNumberFormat="1" applyFont="1" applyBorder="1" applyAlignment="1">
      <alignment horizontal="center" vertical="center"/>
    </xf>
    <xf numFmtId="0" fontId="7" fillId="0" borderId="0" xfId="6" applyFont="1"/>
    <xf numFmtId="0" fontId="17" fillId="0" borderId="0" xfId="5" applyFont="1"/>
    <xf numFmtId="0" fontId="9" fillId="0" borderId="0" xfId="6" applyFont="1" applyAlignment="1">
      <alignment horizontal="left" vertical="center"/>
    </xf>
    <xf numFmtId="0" fontId="9" fillId="0" borderId="0" xfId="6" applyFont="1" applyAlignment="1">
      <alignment horizontal="left" vertical="center" wrapText="1"/>
    </xf>
    <xf numFmtId="0" fontId="9" fillId="0" borderId="0" xfId="6" applyFont="1" applyAlignment="1">
      <alignment vertical="center" wrapText="1"/>
    </xf>
    <xf numFmtId="179" fontId="9" fillId="0" borderId="0" xfId="5" applyNumberFormat="1" applyFont="1" applyAlignment="1">
      <alignment vertical="center"/>
    </xf>
    <xf numFmtId="0" fontId="9" fillId="0" borderId="0" xfId="5" applyFont="1" applyAlignment="1">
      <alignment vertical="center"/>
    </xf>
    <xf numFmtId="179" fontId="7" fillId="0" borderId="0" xfId="5" applyNumberFormat="1"/>
    <xf numFmtId="41" fontId="18" fillId="0" borderId="0" xfId="5" applyNumberFormat="1" applyFont="1"/>
    <xf numFmtId="0" fontId="18" fillId="0" borderId="0" xfId="5" applyFont="1"/>
    <xf numFmtId="0" fontId="4" fillId="0" borderId="5" xfId="5" applyFont="1" applyBorder="1" applyAlignment="1">
      <alignment horizontal="center" vertical="center"/>
    </xf>
    <xf numFmtId="41" fontId="47" fillId="0" borderId="0" xfId="5" applyNumberFormat="1" applyFont="1" applyAlignment="1">
      <alignment horizontal="center" vertical="center"/>
    </xf>
    <xf numFmtId="0" fontId="45" fillId="0" borderId="0" xfId="5" applyFont="1"/>
    <xf numFmtId="0" fontId="14" fillId="0" borderId="0" xfId="5" applyFont="1"/>
    <xf numFmtId="41" fontId="46" fillId="0" borderId="0" xfId="5" applyNumberFormat="1" applyFont="1" applyAlignment="1">
      <alignment horizontal="center" vertical="center"/>
    </xf>
    <xf numFmtId="41" fontId="45" fillId="0" borderId="0" xfId="5" applyNumberFormat="1" applyFont="1"/>
    <xf numFmtId="0" fontId="9" fillId="0" borderId="3" xfId="6" applyFont="1" applyBorder="1" applyAlignment="1">
      <alignment vertical="center"/>
    </xf>
    <xf numFmtId="179" fontId="5" fillId="0" borderId="0" xfId="5" applyNumberFormat="1" applyFont="1" applyAlignment="1">
      <alignment vertical="center"/>
    </xf>
    <xf numFmtId="0" fontId="5" fillId="0" borderId="0" xfId="5" applyFont="1" applyAlignment="1">
      <alignment vertical="center"/>
    </xf>
    <xf numFmtId="179" fontId="1" fillId="0" borderId="0" xfId="5" applyNumberFormat="1" applyFont="1"/>
    <xf numFmtId="0" fontId="17" fillId="0" borderId="2" xfId="5" applyFont="1" applyBorder="1"/>
    <xf numFmtId="0" fontId="44" fillId="0" borderId="0" xfId="5" applyFont="1"/>
    <xf numFmtId="41" fontId="4" fillId="0" borderId="29" xfId="5" applyNumberFormat="1" applyFont="1" applyBorder="1" applyAlignment="1">
      <alignment horizontal="center" vertical="center"/>
    </xf>
    <xf numFmtId="41" fontId="4" fillId="0" borderId="13" xfId="5" applyNumberFormat="1" applyFont="1" applyBorder="1" applyAlignment="1">
      <alignment horizontal="center" vertical="center"/>
    </xf>
    <xf numFmtId="0" fontId="4" fillId="0" borderId="8" xfId="5" applyFont="1" applyBorder="1" applyAlignment="1">
      <alignment horizontal="center" vertical="center"/>
    </xf>
    <xf numFmtId="0" fontId="4" fillId="0" borderId="0" xfId="5" applyFont="1" applyAlignment="1">
      <alignment horizontal="center" vertical="center"/>
    </xf>
    <xf numFmtId="41" fontId="4" fillId="0" borderId="14" xfId="5" applyNumberFormat="1" applyFont="1" applyBorder="1" applyAlignment="1">
      <alignment horizontal="center" vertical="center"/>
    </xf>
    <xf numFmtId="0" fontId="4" fillId="0" borderId="14" xfId="0" applyFont="1" applyBorder="1" applyAlignment="1">
      <alignment horizontal="center" vertical="center"/>
    </xf>
    <xf numFmtId="0" fontId="4" fillId="0" borderId="4" xfId="5" applyFont="1" applyBorder="1" applyAlignment="1">
      <alignment horizontal="center" vertical="center" wrapText="1"/>
    </xf>
    <xf numFmtId="0" fontId="4" fillId="0" borderId="14" xfId="5" applyFont="1" applyBorder="1" applyAlignment="1">
      <alignment horizontal="center" vertical="center"/>
    </xf>
    <xf numFmtId="0" fontId="4" fillId="0" borderId="7" xfId="5" applyFont="1" applyBorder="1" applyAlignment="1">
      <alignment horizontal="center" vertical="center"/>
    </xf>
    <xf numFmtId="0" fontId="4" fillId="0" borderId="5" xfId="5" applyFont="1" applyBorder="1" applyAlignment="1">
      <alignment horizontal="center" vertical="center" wrapText="1"/>
    </xf>
    <xf numFmtId="0" fontId="4" fillId="0" borderId="9" xfId="5" applyFont="1" applyBorder="1" applyAlignment="1">
      <alignment horizontal="center" vertical="center"/>
    </xf>
    <xf numFmtId="0" fontId="7" fillId="0" borderId="8" xfId="6" applyFont="1" applyBorder="1" applyAlignment="1">
      <alignment horizontal="center" vertical="center" wrapText="1"/>
    </xf>
    <xf numFmtId="186" fontId="12" fillId="0" borderId="6" xfId="7" applyNumberFormat="1" applyFont="1" applyBorder="1" applyAlignment="1">
      <alignment horizontal="center" vertical="center"/>
    </xf>
    <xf numFmtId="186" fontId="12" fillId="0" borderId="0" xfId="7" applyNumberFormat="1" applyFont="1" applyBorder="1" applyAlignment="1">
      <alignment horizontal="center" vertical="center"/>
    </xf>
    <xf numFmtId="186" fontId="12" fillId="0" borderId="0" xfId="7" applyNumberFormat="1" applyFont="1" applyFill="1" applyBorder="1" applyAlignment="1">
      <alignment horizontal="center" vertical="center"/>
    </xf>
    <xf numFmtId="0" fontId="7" fillId="0" borderId="8" xfId="6" applyFont="1" applyBorder="1" applyAlignment="1">
      <alignment horizontal="center" vertical="center"/>
    </xf>
    <xf numFmtId="178" fontId="12" fillId="0" borderId="0" xfId="5" applyNumberFormat="1" applyFont="1" applyAlignment="1">
      <alignment horizontal="right" vertical="center"/>
    </xf>
    <xf numFmtId="178" fontId="12" fillId="0" borderId="0" xfId="5" applyNumberFormat="1" applyFont="1" applyAlignment="1">
      <alignment vertical="center"/>
    </xf>
    <xf numFmtId="0" fontId="7" fillId="0" borderId="9" xfId="6" applyFont="1" applyBorder="1" applyAlignment="1">
      <alignment horizontal="center" vertical="center"/>
    </xf>
    <xf numFmtId="178" fontId="12" fillId="0" borderId="7" xfId="5" applyNumberFormat="1" applyFont="1" applyBorder="1" applyAlignment="1">
      <alignment horizontal="right" vertical="center"/>
    </xf>
    <xf numFmtId="186" fontId="12" fillId="0" borderId="2" xfId="7" applyNumberFormat="1" applyFont="1" applyBorder="1" applyAlignment="1">
      <alignment horizontal="center" vertical="center"/>
    </xf>
    <xf numFmtId="176" fontId="7" fillId="0" borderId="0" xfId="5" applyNumberFormat="1"/>
    <xf numFmtId="0" fontId="12" fillId="0" borderId="0" xfId="6" applyFont="1" applyAlignment="1">
      <alignment vertical="center"/>
    </xf>
    <xf numFmtId="0" fontId="12" fillId="0" borderId="0" xfId="6" applyFont="1"/>
    <xf numFmtId="0" fontId="12" fillId="0" borderId="0" xfId="5" applyFont="1" applyAlignment="1">
      <alignment vertical="center"/>
    </xf>
    <xf numFmtId="179" fontId="12" fillId="0" borderId="0" xfId="5" applyNumberFormat="1" applyFont="1" applyAlignment="1">
      <alignment vertical="center"/>
    </xf>
    <xf numFmtId="0" fontId="12" fillId="0" borderId="0" xfId="5" applyFont="1" applyAlignment="1">
      <alignment horizontal="center" vertical="center"/>
    </xf>
    <xf numFmtId="179" fontId="12" fillId="0" borderId="0" xfId="5" applyNumberFormat="1" applyFont="1"/>
    <xf numFmtId="0" fontId="12" fillId="0" borderId="0" xfId="5" applyFont="1"/>
    <xf numFmtId="41" fontId="12" fillId="0" borderId="0" xfId="5" applyNumberFormat="1" applyFont="1"/>
    <xf numFmtId="41" fontId="17" fillId="0" borderId="0" xfId="5" applyNumberFormat="1" applyFont="1"/>
    <xf numFmtId="41" fontId="48" fillId="0" borderId="0" xfId="5" applyNumberFormat="1" applyFont="1"/>
    <xf numFmtId="0" fontId="48" fillId="0" borderId="0" xfId="5" applyFont="1"/>
    <xf numFmtId="0" fontId="5" fillId="0" borderId="2" xfId="5" applyFont="1" applyBorder="1" applyAlignment="1">
      <alignment horizontal="right"/>
    </xf>
    <xf numFmtId="0" fontId="10" fillId="0" borderId="5" xfId="5" applyFont="1" applyBorder="1" applyAlignment="1">
      <alignment horizontal="right" vertical="center" wrapText="1"/>
    </xf>
    <xf numFmtId="0" fontId="10" fillId="0" borderId="11" xfId="5" applyFont="1" applyBorder="1" applyAlignment="1">
      <alignment horizontal="left" vertical="center" wrapText="1"/>
    </xf>
    <xf numFmtId="0" fontId="4" fillId="0" borderId="10" xfId="5" applyFont="1" applyBorder="1" applyAlignment="1">
      <alignment horizontal="center" vertical="center"/>
    </xf>
    <xf numFmtId="41" fontId="10" fillId="0" borderId="4" xfId="5" applyNumberFormat="1" applyFont="1" applyBorder="1" applyAlignment="1">
      <alignment horizontal="center" vertical="center"/>
    </xf>
    <xf numFmtId="0" fontId="10" fillId="0" borderId="4" xfId="5" applyFont="1" applyBorder="1" applyAlignment="1">
      <alignment horizontal="center" vertical="center"/>
    </xf>
    <xf numFmtId="0" fontId="10" fillId="0" borderId="5" xfId="5" applyFont="1" applyBorder="1" applyAlignment="1">
      <alignment horizontal="center" vertical="center"/>
    </xf>
    <xf numFmtId="0" fontId="10" fillId="0" borderId="11" xfId="5" applyFont="1" applyBorder="1" applyAlignment="1">
      <alignment horizontal="center" vertical="center"/>
    </xf>
    <xf numFmtId="0" fontId="4" fillId="0" borderId="3" xfId="5" applyFont="1" applyBorder="1" applyAlignment="1">
      <alignment horizontal="center" vertical="center"/>
    </xf>
    <xf numFmtId="41" fontId="9" fillId="0" borderId="6" xfId="5" applyNumberFormat="1" applyFont="1" applyBorder="1" applyAlignment="1">
      <alignment horizontal="center" vertical="center"/>
    </xf>
    <xf numFmtId="41" fontId="9" fillId="0" borderId="0" xfId="5" applyNumberFormat="1" applyFont="1" applyAlignment="1">
      <alignment horizontal="center" vertical="center"/>
    </xf>
    <xf numFmtId="41" fontId="5" fillId="0" borderId="0" xfId="5" applyNumberFormat="1" applyFont="1" applyAlignment="1">
      <alignment horizontal="center" vertical="center"/>
    </xf>
    <xf numFmtId="41" fontId="9" fillId="0" borderId="0" xfId="14" applyNumberFormat="1" applyFont="1" applyAlignment="1">
      <alignment horizontal="center" vertical="center"/>
    </xf>
    <xf numFmtId="41" fontId="5" fillId="0" borderId="0" xfId="14" applyNumberFormat="1" applyFont="1" applyAlignment="1">
      <alignment horizontal="center" vertical="center"/>
    </xf>
    <xf numFmtId="0" fontId="7" fillId="0" borderId="0" xfId="14"/>
    <xf numFmtId="178" fontId="9" fillId="0" borderId="0" xfId="5" applyNumberFormat="1" applyFont="1" applyAlignment="1">
      <alignment horizontal="right" vertical="center"/>
    </xf>
    <xf numFmtId="41" fontId="9" fillId="0" borderId="6" xfId="14" applyNumberFormat="1" applyFont="1" applyBorder="1" applyAlignment="1">
      <alignment horizontal="center" vertical="center"/>
    </xf>
    <xf numFmtId="0" fontId="12" fillId="0" borderId="8" xfId="6" applyFont="1" applyBorder="1" applyAlignment="1">
      <alignment horizontal="center" vertical="center"/>
    </xf>
    <xf numFmtId="41" fontId="9" fillId="0" borderId="6" xfId="14" applyNumberFormat="1" applyFont="1" applyBorder="1" applyAlignment="1">
      <alignment horizontal="right" vertical="center"/>
    </xf>
    <xf numFmtId="179" fontId="9" fillId="0" borderId="0" xfId="5" applyNumberFormat="1" applyFont="1" applyAlignment="1">
      <alignment horizontal="right" vertical="center"/>
    </xf>
    <xf numFmtId="41" fontId="9" fillId="0" borderId="0" xfId="14" applyNumberFormat="1" applyFont="1" applyAlignment="1">
      <alignment horizontal="right" vertical="center"/>
    </xf>
    <xf numFmtId="178" fontId="9" fillId="0" borderId="0" xfId="14" applyNumberFormat="1" applyFont="1" applyAlignment="1">
      <alignment horizontal="right" vertical="center"/>
    </xf>
    <xf numFmtId="184" fontId="9" fillId="0" borderId="6" xfId="14" applyNumberFormat="1" applyFont="1" applyBorder="1" applyAlignment="1">
      <alignment horizontal="right" vertical="center"/>
    </xf>
    <xf numFmtId="184" fontId="9" fillId="0" borderId="0" xfId="5" applyNumberFormat="1" applyFont="1" applyAlignment="1">
      <alignment horizontal="right" vertical="center"/>
    </xf>
    <xf numFmtId="0" fontId="4" fillId="0" borderId="0" xfId="14" applyFont="1"/>
    <xf numFmtId="0" fontId="12" fillId="0" borderId="9" xfId="6" applyFont="1" applyBorder="1" applyAlignment="1">
      <alignment horizontal="center" vertical="center"/>
    </xf>
    <xf numFmtId="184" fontId="9" fillId="0" borderId="7" xfId="14" applyNumberFormat="1" applyFont="1" applyBorder="1" applyAlignment="1">
      <alignment horizontal="right" vertical="center"/>
    </xf>
    <xf numFmtId="184" fontId="9" fillId="0" borderId="2" xfId="5" applyNumberFormat="1" applyFont="1" applyBorder="1" applyAlignment="1">
      <alignment horizontal="right" vertical="center"/>
    </xf>
    <xf numFmtId="184" fontId="9" fillId="0" borderId="2" xfId="14" applyNumberFormat="1" applyFont="1" applyBorder="1" applyAlignment="1">
      <alignment horizontal="right" vertical="center"/>
    </xf>
    <xf numFmtId="178" fontId="9" fillId="0" borderId="2" xfId="5" applyNumberFormat="1" applyFont="1" applyBorder="1" applyAlignment="1">
      <alignment horizontal="right" vertical="center"/>
    </xf>
    <xf numFmtId="178" fontId="9" fillId="0" borderId="2" xfId="14" applyNumberFormat="1" applyFont="1" applyBorder="1" applyAlignment="1">
      <alignment horizontal="right" vertical="center"/>
    </xf>
    <xf numFmtId="179" fontId="5" fillId="0" borderId="0" xfId="5" applyNumberFormat="1" applyFont="1" applyAlignment="1">
      <alignment horizontal="left" vertical="center"/>
    </xf>
    <xf numFmtId="179" fontId="9" fillId="0" borderId="0" xfId="5" applyNumberFormat="1" applyFont="1"/>
    <xf numFmtId="178" fontId="17" fillId="0" borderId="0" xfId="5" applyNumberFormat="1" applyFont="1"/>
    <xf numFmtId="41" fontId="48" fillId="0" borderId="2" xfId="5" applyNumberFormat="1" applyFont="1" applyBorder="1"/>
    <xf numFmtId="0" fontId="2" fillId="0" borderId="0" xfId="0" applyFont="1"/>
    <xf numFmtId="0" fontId="2" fillId="0" borderId="0" xfId="0" applyFont="1" applyAlignment="1">
      <alignment horizontal="center"/>
    </xf>
    <xf numFmtId="0" fontId="29" fillId="0" borderId="0" xfId="0" applyFont="1"/>
    <xf numFmtId="0" fontId="4" fillId="0" borderId="2" xfId="5" applyFont="1" applyBorder="1"/>
    <xf numFmtId="0" fontId="7" fillId="0" borderId="2" xfId="5" applyBorder="1"/>
    <xf numFmtId="0" fontId="5" fillId="0" borderId="2" xfId="5" applyFont="1" applyBorder="1"/>
    <xf numFmtId="0" fontId="4" fillId="0" borderId="0" xfId="0" applyFont="1"/>
    <xf numFmtId="0" fontId="5" fillId="0" borderId="0" xfId="5"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8" fillId="0" borderId="0" xfId="0" applyFont="1"/>
    <xf numFmtId="0" fontId="18" fillId="2" borderId="0" xfId="0" applyFont="1" applyFill="1" applyAlignment="1">
      <alignment horizontal="center" vertical="center"/>
    </xf>
    <xf numFmtId="186" fontId="5" fillId="0" borderId="6" xfId="7" applyNumberFormat="1" applyFont="1" applyBorder="1" applyAlignment="1">
      <alignment horizontal="center" vertical="center"/>
    </xf>
    <xf numFmtId="186" fontId="5" fillId="0" borderId="0" xfId="7" applyNumberFormat="1" applyFont="1" applyAlignment="1">
      <alignment horizontal="center" vertical="center"/>
    </xf>
    <xf numFmtId="186" fontId="5" fillId="0" borderId="0" xfId="7" applyNumberFormat="1" applyFont="1" applyBorder="1" applyAlignment="1">
      <alignment horizontal="center" vertical="center"/>
    </xf>
    <xf numFmtId="186" fontId="5" fillId="0" borderId="0" xfId="7" applyNumberFormat="1" applyFont="1" applyFill="1" applyBorder="1" applyAlignment="1">
      <alignment horizontal="center" vertical="center"/>
    </xf>
    <xf numFmtId="0" fontId="21" fillId="0" borderId="0" xfId="0" applyFont="1"/>
    <xf numFmtId="0" fontId="21" fillId="2" borderId="0" xfId="0" applyFont="1" applyFill="1"/>
    <xf numFmtId="186" fontId="5" fillId="0" borderId="6" xfId="7" applyNumberFormat="1" applyFont="1" applyBorder="1" applyAlignment="1">
      <alignment horizontal="right" vertical="center"/>
    </xf>
    <xf numFmtId="186" fontId="5" fillId="0" borderId="0" xfId="7" applyNumberFormat="1" applyFont="1" applyAlignment="1">
      <alignment horizontal="right" vertical="center"/>
    </xf>
    <xf numFmtId="186" fontId="5" fillId="0" borderId="0" xfId="7" applyNumberFormat="1" applyFont="1" applyBorder="1" applyAlignment="1">
      <alignment horizontal="right" vertical="center"/>
    </xf>
    <xf numFmtId="186" fontId="5" fillId="0" borderId="0" xfId="7" applyNumberFormat="1" applyFont="1" applyFill="1" applyBorder="1" applyAlignment="1">
      <alignment horizontal="right" vertical="center"/>
    </xf>
    <xf numFmtId="186" fontId="9" fillId="0" borderId="6" xfId="7" applyNumberFormat="1" applyFont="1" applyBorder="1" applyAlignment="1">
      <alignment horizontal="right" vertical="center"/>
    </xf>
    <xf numFmtId="186" fontId="9" fillId="0" borderId="0" xfId="7" applyNumberFormat="1" applyFont="1" applyAlignment="1">
      <alignment horizontal="right" vertical="center"/>
    </xf>
    <xf numFmtId="186" fontId="9" fillId="0" borderId="0" xfId="7" applyNumberFormat="1" applyFont="1" applyBorder="1" applyAlignment="1">
      <alignment horizontal="right" vertical="center"/>
    </xf>
    <xf numFmtId="186" fontId="9" fillId="0" borderId="0" xfId="7" applyNumberFormat="1" applyFont="1" applyFill="1" applyBorder="1" applyAlignment="1">
      <alignment horizontal="right" vertical="center"/>
    </xf>
    <xf numFmtId="0" fontId="9" fillId="0" borderId="8" xfId="6" applyFont="1" applyBorder="1" applyAlignment="1">
      <alignment horizontal="center" vertical="center"/>
    </xf>
    <xf numFmtId="186" fontId="21" fillId="2" borderId="0" xfId="0" applyNumberFormat="1" applyFont="1" applyFill="1" applyAlignment="1">
      <alignment vertical="center"/>
    </xf>
    <xf numFmtId="178" fontId="9" fillId="0" borderId="0" xfId="0" quotePrefix="1" applyNumberFormat="1" applyFont="1" applyAlignment="1">
      <alignment horizontal="right" vertical="center"/>
    </xf>
    <xf numFmtId="178" fontId="9" fillId="0" borderId="0" xfId="7" applyNumberFormat="1" applyFont="1" applyBorder="1" applyAlignment="1">
      <alignment horizontal="right" vertical="center"/>
    </xf>
    <xf numFmtId="186" fontId="9" fillId="0" borderId="6" xfId="7" applyNumberFormat="1" applyFont="1" applyFill="1" applyBorder="1" applyAlignment="1">
      <alignment horizontal="right" vertical="center"/>
    </xf>
    <xf numFmtId="178" fontId="9" fillId="0" borderId="6" xfId="0" applyNumberFormat="1" applyFont="1" applyBorder="1" applyAlignment="1">
      <alignment vertical="center"/>
    </xf>
    <xf numFmtId="178" fontId="9" fillId="0" borderId="0" xfId="0" applyNumberFormat="1" applyFont="1" applyAlignment="1">
      <alignment vertical="center"/>
    </xf>
    <xf numFmtId="178" fontId="9" fillId="0" borderId="0" xfId="7" applyNumberFormat="1" applyFont="1" applyBorder="1" applyAlignment="1">
      <alignment vertical="center"/>
    </xf>
    <xf numFmtId="178" fontId="5" fillId="0" borderId="0" xfId="0" applyNumberFormat="1" applyFont="1" applyAlignment="1">
      <alignment vertical="center"/>
    </xf>
    <xf numFmtId="178" fontId="9" fillId="0" borderId="0" xfId="7" applyNumberFormat="1" applyFont="1" applyFill="1" applyBorder="1" applyAlignment="1">
      <alignment vertical="center"/>
    </xf>
    <xf numFmtId="186" fontId="21" fillId="3" borderId="0" xfId="0" applyNumberFormat="1" applyFont="1" applyFill="1" applyAlignment="1">
      <alignment vertical="center"/>
    </xf>
    <xf numFmtId="178" fontId="9" fillId="0" borderId="0" xfId="0" applyNumberFormat="1" applyFont="1" applyAlignment="1">
      <alignment horizontal="right" vertical="center"/>
    </xf>
    <xf numFmtId="0" fontId="12" fillId="0" borderId="0" xfId="0" applyFont="1" applyAlignment="1">
      <alignment vertical="center"/>
    </xf>
    <xf numFmtId="178" fontId="12" fillId="0" borderId="0" xfId="0" applyNumberFormat="1" applyFont="1" applyAlignment="1">
      <alignment vertical="center"/>
    </xf>
    <xf numFmtId="178" fontId="50" fillId="0" borderId="0" xfId="0" applyNumberFormat="1" applyFont="1"/>
    <xf numFmtId="41" fontId="50" fillId="0" borderId="0" xfId="0" applyNumberFormat="1" applyFont="1"/>
    <xf numFmtId="0" fontId="50" fillId="0" borderId="0" xfId="0" applyFont="1"/>
    <xf numFmtId="186" fontId="50" fillId="0" borderId="2" xfId="0" applyNumberFormat="1" applyFont="1" applyBorder="1"/>
    <xf numFmtId="186" fontId="17" fillId="0" borderId="0" xfId="5" applyNumberFormat="1" applyFont="1"/>
    <xf numFmtId="186" fontId="48" fillId="0" borderId="0" xfId="5" applyNumberFormat="1" applyFont="1"/>
    <xf numFmtId="178" fontId="9" fillId="0" borderId="7" xfId="0" quotePrefix="1" applyNumberFormat="1" applyFont="1" applyBorder="1" applyAlignment="1">
      <alignment horizontal="right" vertical="center"/>
    </xf>
    <xf numFmtId="178" fontId="9" fillId="0" borderId="2" xfId="0" quotePrefix="1" applyNumberFormat="1" applyFont="1" applyBorder="1" applyAlignment="1">
      <alignment horizontal="right" vertical="center"/>
    </xf>
    <xf numFmtId="0" fontId="2" fillId="0" borderId="0" xfId="15" applyFont="1" applyAlignment="1">
      <alignment vertical="center"/>
    </xf>
    <xf numFmtId="0" fontId="5" fillId="0" borderId="2" xfId="13" applyFont="1" applyBorder="1" applyAlignment="1"/>
    <xf numFmtId="0" fontId="5" fillId="0" borderId="0" xfId="13" applyFont="1" applyBorder="1" applyAlignment="1">
      <alignment horizontal="right"/>
    </xf>
    <xf numFmtId="0" fontId="4" fillId="0" borderId="0" xfId="13" applyFont="1" applyBorder="1"/>
    <xf numFmtId="0" fontId="39" fillId="0" borderId="4" xfId="13" applyFont="1" applyFill="1" applyBorder="1" applyAlignment="1">
      <alignment horizontal="center" vertical="center"/>
    </xf>
    <xf numFmtId="0" fontId="39" fillId="0" borderId="4" xfId="13" applyFont="1" applyFill="1" applyBorder="1" applyAlignment="1">
      <alignment horizontal="center" vertical="center" wrapText="1"/>
    </xf>
    <xf numFmtId="0" fontId="4" fillId="0" borderId="0" xfId="13" applyFont="1" applyBorder="1" applyAlignment="1">
      <alignment horizontal="center" vertical="center"/>
    </xf>
    <xf numFmtId="0" fontId="39" fillId="0" borderId="4" xfId="15" applyFont="1" applyFill="1" applyBorder="1" applyAlignment="1">
      <alignment horizontal="center" vertical="center"/>
    </xf>
    <xf numFmtId="0" fontId="39" fillId="0" borderId="4" xfId="15" applyFont="1" applyFill="1" applyBorder="1" applyAlignment="1">
      <alignment horizontal="center" vertical="center" wrapText="1"/>
    </xf>
    <xf numFmtId="3" fontId="39" fillId="0" borderId="4" xfId="0" applyNumberFormat="1" applyFont="1" applyFill="1" applyBorder="1" applyAlignment="1">
      <alignment horizontal="right" vertical="center" wrapText="1"/>
    </xf>
    <xf numFmtId="182" fontId="39" fillId="0" borderId="4" xfId="0" applyNumberFormat="1" applyFont="1" applyFill="1" applyBorder="1" applyAlignment="1">
      <alignment vertical="center"/>
    </xf>
    <xf numFmtId="187" fontId="4" fillId="0" borderId="0" xfId="13" applyNumberFormat="1" applyFont="1" applyBorder="1" applyAlignment="1">
      <alignment horizontal="center" vertical="center"/>
    </xf>
    <xf numFmtId="0" fontId="39" fillId="0" borderId="10" xfId="15" applyFont="1" applyFill="1" applyBorder="1" applyAlignment="1">
      <alignment horizontal="center" vertical="center"/>
    </xf>
    <xf numFmtId="3" fontId="39" fillId="0" borderId="4" xfId="13" applyNumberFormat="1" applyFont="1" applyFill="1" applyBorder="1" applyAlignment="1">
      <alignment horizontal="right" vertical="center"/>
    </xf>
    <xf numFmtId="182" fontId="39" fillId="0" borderId="4" xfId="0" quotePrefix="1" applyNumberFormat="1" applyFont="1" applyFill="1" applyBorder="1" applyAlignment="1">
      <alignment vertical="center"/>
    </xf>
    <xf numFmtId="0" fontId="15" fillId="0" borderId="0" xfId="13" applyFont="1"/>
    <xf numFmtId="0" fontId="52" fillId="0" borderId="0" xfId="0" applyFont="1"/>
    <xf numFmtId="0" fontId="52" fillId="0" borderId="0" xfId="0" applyFont="1" applyBorder="1"/>
    <xf numFmtId="0" fontId="5" fillId="0" borderId="0" xfId="13" applyFont="1" applyBorder="1" applyAlignment="1">
      <alignment vertical="center"/>
    </xf>
    <xf numFmtId="0" fontId="4" fillId="0" borderId="0" xfId="13" applyFont="1" applyFill="1" applyAlignment="1">
      <alignment vertical="center"/>
    </xf>
    <xf numFmtId="0" fontId="9" fillId="0" borderId="0" xfId="13" applyFont="1"/>
    <xf numFmtId="0" fontId="4" fillId="0" borderId="0" xfId="13" applyFont="1" applyAlignment="1"/>
    <xf numFmtId="0" fontId="4" fillId="0" borderId="0" xfId="13" applyFont="1" applyAlignment="1">
      <alignment vertical="center"/>
    </xf>
    <xf numFmtId="0" fontId="52" fillId="0" borderId="0" xfId="0" applyFont="1" applyAlignment="1">
      <alignment horizontal="left"/>
    </xf>
    <xf numFmtId="0" fontId="5" fillId="0" borderId="0" xfId="13" applyFont="1" applyAlignment="1">
      <alignment horizontal="left" vertical="center"/>
    </xf>
    <xf numFmtId="3" fontId="18" fillId="0" borderId="0" xfId="13" applyNumberFormat="1" applyFont="1"/>
    <xf numFmtId="0" fontId="18" fillId="0" borderId="2" xfId="13" applyFont="1" applyBorder="1"/>
    <xf numFmtId="0" fontId="39" fillId="0" borderId="13" xfId="13" applyFont="1" applyFill="1" applyBorder="1" applyAlignment="1">
      <alignment horizontal="center" vertical="center" wrapText="1"/>
    </xf>
    <xf numFmtId="0" fontId="39" fillId="0" borderId="5" xfId="15" applyFont="1" applyFill="1" applyBorder="1" applyAlignment="1">
      <alignment horizontal="center" vertical="center" wrapText="1"/>
    </xf>
    <xf numFmtId="4" fontId="39" fillId="0" borderId="4" xfId="0" applyNumberFormat="1" applyFont="1" applyFill="1" applyBorder="1" applyAlignment="1">
      <alignment horizontal="right" vertical="center"/>
    </xf>
    <xf numFmtId="40" fontId="39" fillId="0" borderId="4" xfId="0" applyNumberFormat="1" applyFont="1" applyFill="1" applyBorder="1" applyAlignment="1">
      <alignment horizontal="right" vertical="center"/>
    </xf>
    <xf numFmtId="188" fontId="39" fillId="0" borderId="4" xfId="0" applyNumberFormat="1" applyFont="1" applyFill="1" applyBorder="1" applyAlignment="1">
      <alignment horizontal="right" vertical="center" wrapText="1"/>
    </xf>
    <xf numFmtId="38" fontId="39" fillId="0" borderId="4" xfId="0" applyNumberFormat="1" applyFont="1" applyFill="1" applyBorder="1" applyAlignment="1">
      <alignment horizontal="right" vertical="center"/>
    </xf>
    <xf numFmtId="182" fontId="39" fillId="0" borderId="4" xfId="0" applyNumberFormat="1" applyFont="1" applyFill="1" applyBorder="1" applyAlignment="1">
      <alignment horizontal="right" vertical="center" wrapText="1"/>
    </xf>
    <xf numFmtId="182" fontId="39" fillId="0" borderId="4" xfId="0" applyNumberFormat="1" applyFont="1" applyFill="1" applyBorder="1" applyAlignment="1">
      <alignment horizontal="right" vertical="center"/>
    </xf>
    <xf numFmtId="181" fontId="39" fillId="0" borderId="4" xfId="0" applyNumberFormat="1" applyFont="1" applyFill="1" applyBorder="1" applyAlignment="1">
      <alignment horizontal="right" vertical="center"/>
    </xf>
    <xf numFmtId="4" fontId="39" fillId="0" borderId="14" xfId="0" applyNumberFormat="1" applyFont="1" applyFill="1" applyBorder="1" applyAlignment="1">
      <alignment horizontal="right" vertical="center"/>
    </xf>
    <xf numFmtId="182" fontId="39" fillId="0" borderId="14" xfId="0" applyNumberFormat="1" applyFont="1" applyFill="1" applyBorder="1" applyAlignment="1">
      <alignment horizontal="right" vertical="center"/>
    </xf>
    <xf numFmtId="176" fontId="39" fillId="0" borderId="4" xfId="0" applyNumberFormat="1" applyFont="1" applyFill="1" applyBorder="1" applyAlignment="1">
      <alignment horizontal="right" vertical="center"/>
    </xf>
    <xf numFmtId="178" fontId="39" fillId="0" borderId="4" xfId="0" applyNumberFormat="1" applyFont="1" applyFill="1" applyBorder="1" applyAlignment="1">
      <alignment horizontal="right" vertical="center"/>
    </xf>
    <xf numFmtId="0" fontId="39" fillId="0" borderId="10" xfId="15" applyFont="1" applyFill="1" applyBorder="1" applyAlignment="1">
      <alignment horizontal="center" vertical="center" wrapText="1"/>
    </xf>
    <xf numFmtId="4" fontId="39" fillId="0" borderId="14" xfId="13" applyNumberFormat="1" applyFont="1" applyFill="1" applyBorder="1" applyAlignment="1">
      <alignment vertical="center"/>
    </xf>
    <xf numFmtId="182" fontId="39" fillId="0" borderId="14" xfId="0" quotePrefix="1" applyNumberFormat="1" applyFont="1" applyFill="1" applyBorder="1" applyAlignment="1">
      <alignment horizontal="right" vertical="center"/>
    </xf>
    <xf numFmtId="0" fontId="54" fillId="0" borderId="0" xfId="0" applyFont="1"/>
    <xf numFmtId="0" fontId="5" fillId="0" borderId="0" xfId="13" applyFont="1" applyAlignment="1">
      <alignment horizontal="distributed" vertical="center"/>
    </xf>
    <xf numFmtId="179" fontId="28" fillId="0" borderId="0" xfId="0" applyNumberFormat="1" applyFont="1" applyFill="1"/>
    <xf numFmtId="179" fontId="4" fillId="0" borderId="0" xfId="0" applyNumberFormat="1" applyFont="1" applyFill="1"/>
    <xf numFmtId="179" fontId="4" fillId="0" borderId="0" xfId="0" applyNumberFormat="1" applyFont="1" applyFill="1" applyAlignment="1">
      <alignment horizontal="centerContinuous"/>
    </xf>
    <xf numFmtId="179" fontId="29" fillId="0" borderId="0" xfId="0" applyNumberFormat="1" applyFont="1" applyFill="1" applyAlignment="1">
      <alignment horizontal="center"/>
    </xf>
    <xf numFmtId="179" fontId="4" fillId="0" borderId="0" xfId="0" applyNumberFormat="1" applyFont="1" applyFill="1" applyAlignment="1">
      <alignment horizontal="center"/>
    </xf>
    <xf numFmtId="179" fontId="29"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179" fontId="29" fillId="0" borderId="0" xfId="0" applyNumberFormat="1" applyFont="1" applyFill="1" applyAlignment="1">
      <alignment vertical="center"/>
    </xf>
    <xf numFmtId="0" fontId="4" fillId="0" borderId="15" xfId="0" applyFont="1" applyFill="1" applyBorder="1" applyAlignment="1">
      <alignment horizontal="right" vertical="center"/>
    </xf>
    <xf numFmtId="179" fontId="29" fillId="0" borderId="15" xfId="0" applyNumberFormat="1" applyFont="1" applyFill="1" applyBorder="1" applyAlignment="1">
      <alignment horizontal="right" vertical="center"/>
    </xf>
    <xf numFmtId="179" fontId="7" fillId="0" borderId="0" xfId="0" applyNumberFormat="1" applyFont="1" applyFill="1"/>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180" fontId="29" fillId="0" borderId="24"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0" fontId="4" fillId="0" borderId="0" xfId="4" applyFont="1" applyFill="1" applyAlignment="1">
      <alignment vertical="center" wrapText="1"/>
    </xf>
    <xf numFmtId="179" fontId="30" fillId="0" borderId="0" xfId="0" applyNumberFormat="1" applyFont="1" applyFill="1" applyAlignment="1">
      <alignment horizontal="right" vertical="center"/>
    </xf>
    <xf numFmtId="181" fontId="31" fillId="0" borderId="33" xfId="0" applyNumberFormat="1" applyFont="1" applyFill="1" applyBorder="1" applyAlignment="1">
      <alignment horizontal="center" vertical="center"/>
    </xf>
    <xf numFmtId="180" fontId="31" fillId="0" borderId="34" xfId="0" applyNumberFormat="1" applyFont="1" applyFill="1" applyBorder="1" applyAlignment="1">
      <alignment horizontal="center" vertical="center"/>
    </xf>
    <xf numFmtId="182" fontId="31" fillId="0" borderId="35" xfId="0" applyNumberFormat="1" applyFont="1" applyFill="1" applyBorder="1" applyAlignment="1">
      <alignment horizontal="center" vertical="center"/>
    </xf>
    <xf numFmtId="179" fontId="30" fillId="0" borderId="0" xfId="0" applyNumberFormat="1" applyFont="1" applyFill="1" applyAlignment="1">
      <alignment horizontal="center" vertical="center"/>
    </xf>
    <xf numFmtId="181" fontId="31" fillId="0" borderId="10" xfId="0" applyNumberFormat="1" applyFont="1" applyFill="1" applyBorder="1" applyAlignment="1">
      <alignment horizontal="center" vertical="center"/>
    </xf>
    <xf numFmtId="182" fontId="31" fillId="0" borderId="41" xfId="0" applyNumberFormat="1" applyFont="1" applyFill="1" applyBorder="1" applyAlignment="1">
      <alignment horizontal="center" vertical="center"/>
    </xf>
    <xf numFmtId="180" fontId="30" fillId="0" borderId="0" xfId="0" applyNumberFormat="1" applyFont="1" applyFill="1" applyAlignment="1">
      <alignment horizontal="center" vertical="center"/>
    </xf>
    <xf numFmtId="181" fontId="31" fillId="0" borderId="54" xfId="0" applyNumberFormat="1" applyFont="1" applyFill="1" applyBorder="1" applyAlignment="1">
      <alignment horizontal="center" vertical="center"/>
    </xf>
    <xf numFmtId="180" fontId="31" fillId="0" borderId="43" xfId="0" applyNumberFormat="1" applyFont="1" applyFill="1" applyBorder="1" applyAlignment="1">
      <alignment horizontal="center" vertical="center"/>
    </xf>
    <xf numFmtId="182" fontId="31" fillId="0" borderId="55" xfId="0" applyNumberFormat="1" applyFont="1" applyFill="1" applyBorder="1" applyAlignment="1">
      <alignment horizontal="center" vertical="center"/>
    </xf>
    <xf numFmtId="0" fontId="29" fillId="0" borderId="30" xfId="0" applyFont="1" applyFill="1" applyBorder="1" applyAlignment="1">
      <alignment horizontal="center" vertical="center" wrapText="1"/>
    </xf>
    <xf numFmtId="181" fontId="31" fillId="0" borderId="14" xfId="0" applyNumberFormat="1" applyFont="1" applyFill="1" applyBorder="1" applyAlignment="1">
      <alignment horizontal="right" vertical="center"/>
    </xf>
    <xf numFmtId="181" fontId="31" fillId="0" borderId="2" xfId="0" applyNumberFormat="1" applyFont="1" applyFill="1" applyBorder="1" applyAlignment="1">
      <alignment horizontal="center" vertical="center"/>
    </xf>
    <xf numFmtId="181" fontId="31" fillId="0" borderId="9" xfId="0" applyNumberFormat="1" applyFont="1" applyFill="1" applyBorder="1" applyAlignment="1">
      <alignment horizontal="left" vertical="center"/>
    </xf>
    <xf numFmtId="0" fontId="29" fillId="0" borderId="39" xfId="0" applyFont="1" applyFill="1" applyBorder="1" applyAlignment="1">
      <alignment horizontal="center" vertical="center" wrapText="1"/>
    </xf>
    <xf numFmtId="181" fontId="31" fillId="0" borderId="11" xfId="0" applyNumberFormat="1" applyFont="1" applyFill="1" applyBorder="1" applyAlignment="1">
      <alignment horizontal="left" vertical="center"/>
    </xf>
    <xf numFmtId="0" fontId="29" fillId="0" borderId="66" xfId="0" applyFont="1" applyFill="1" applyBorder="1" applyAlignment="1">
      <alignment horizontal="center" vertical="center" wrapText="1"/>
    </xf>
    <xf numFmtId="181" fontId="31" fillId="0" borderId="3" xfId="0" applyNumberFormat="1" applyFont="1" applyFill="1" applyBorder="1" applyAlignment="1">
      <alignment horizontal="center" vertical="center"/>
    </xf>
    <xf numFmtId="0" fontId="29" fillId="0" borderId="50" xfId="0" applyFont="1" applyFill="1" applyBorder="1" applyAlignment="1" applyProtection="1">
      <alignment horizontal="center" vertical="center" wrapText="1"/>
      <protection locked="0"/>
    </xf>
    <xf numFmtId="181" fontId="31" fillId="0" borderId="52" xfId="0" applyNumberFormat="1" applyFont="1" applyFill="1" applyBorder="1" applyAlignment="1">
      <alignment horizontal="left" vertical="center"/>
    </xf>
    <xf numFmtId="0" fontId="29" fillId="0" borderId="24" xfId="0" applyFont="1" applyFill="1" applyBorder="1" applyAlignment="1">
      <alignment horizontal="center" vertical="center"/>
    </xf>
    <xf numFmtId="0" fontId="31" fillId="0" borderId="24" xfId="0" applyFont="1" applyFill="1" applyBorder="1" applyAlignment="1">
      <alignment horizontal="center" vertical="center"/>
    </xf>
    <xf numFmtId="182" fontId="31" fillId="0" borderId="77" xfId="0" applyNumberFormat="1" applyFont="1" applyFill="1" applyBorder="1" applyAlignment="1">
      <alignment horizontal="center" vertical="center"/>
    </xf>
    <xf numFmtId="0" fontId="1" fillId="0" borderId="0" xfId="0" applyFont="1" applyFill="1"/>
    <xf numFmtId="179" fontId="7" fillId="0" borderId="0" xfId="0" applyNumberFormat="1" applyFont="1" applyFill="1" applyAlignment="1">
      <alignment horizontal="center"/>
    </xf>
    <xf numFmtId="180" fontId="7" fillId="0" borderId="0" xfId="0" applyNumberFormat="1" applyFont="1" applyFill="1"/>
    <xf numFmtId="0" fontId="10" fillId="0" borderId="5" xfId="6" applyFont="1" applyBorder="1" applyAlignment="1">
      <alignment horizontal="center" vertical="center"/>
    </xf>
    <xf numFmtId="0" fontId="10" fillId="0" borderId="5" xfId="6" applyFont="1" applyBorder="1" applyAlignment="1">
      <alignment horizontal="center" vertical="center" wrapText="1"/>
    </xf>
    <xf numFmtId="0" fontId="10" fillId="0" borderId="11" xfId="6" applyFont="1" applyBorder="1" applyAlignment="1">
      <alignment horizontal="center" vertical="center" wrapText="1"/>
    </xf>
    <xf numFmtId="0" fontId="10" fillId="0" borderId="11" xfId="6" applyFont="1" applyBorder="1" applyAlignment="1">
      <alignment horizontal="center" vertical="center"/>
    </xf>
    <xf numFmtId="0" fontId="10" fillId="0" borderId="9" xfId="6" applyFont="1" applyBorder="1" applyAlignment="1">
      <alignment horizontal="center" vertical="center"/>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4" fillId="0" borderId="5" xfId="6" applyFont="1" applyBorder="1" applyAlignment="1">
      <alignment horizontal="center" vertical="center"/>
    </xf>
    <xf numFmtId="0" fontId="2" fillId="0" borderId="0" xfId="6" applyFont="1" applyAlignment="1">
      <alignment horizontal="left"/>
    </xf>
    <xf numFmtId="0" fontId="5" fillId="0" borderId="3" xfId="6" applyFont="1" applyBorder="1" applyAlignment="1">
      <alignment vertical="center"/>
    </xf>
    <xf numFmtId="0" fontId="10" fillId="0" borderId="4" xfId="6" applyFont="1" applyBorder="1" applyAlignment="1">
      <alignment horizontal="center" vertical="center" wrapText="1"/>
    </xf>
    <xf numFmtId="0" fontId="10" fillId="0" borderId="4" xfId="6" applyFont="1" applyBorder="1" applyAlignment="1">
      <alignment horizontal="center" vertical="center"/>
    </xf>
    <xf numFmtId="0" fontId="5" fillId="0" borderId="5" xfId="6" applyFont="1" applyBorder="1" applyAlignment="1">
      <alignment horizontal="center" vertical="center"/>
    </xf>
    <xf numFmtId="0" fontId="4" fillId="0" borderId="8" xfId="6" applyFont="1" applyBorder="1" applyAlignment="1">
      <alignment horizontal="center" vertical="center"/>
    </xf>
    <xf numFmtId="0" fontId="5" fillId="0" borderId="2" xfId="6" applyFont="1" applyBorder="1" applyAlignment="1">
      <alignment horizontal="right"/>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1" xfId="6" applyFont="1" applyBorder="1" applyAlignment="1">
      <alignment horizontal="center" vertical="center"/>
    </xf>
    <xf numFmtId="0" fontId="4" fillId="0" borderId="9" xfId="6" applyFont="1" applyBorder="1" applyAlignment="1">
      <alignment horizontal="center" vertical="center"/>
    </xf>
    <xf numFmtId="0" fontId="4" fillId="0" borderId="5" xfId="6" applyFont="1" applyBorder="1" applyAlignment="1">
      <alignment horizontal="center" vertical="center"/>
    </xf>
    <xf numFmtId="0" fontId="5" fillId="0" borderId="3" xfId="6" applyFont="1" applyBorder="1" applyAlignment="1">
      <alignment vertical="center"/>
    </xf>
    <xf numFmtId="0" fontId="4" fillId="0" borderId="8" xfId="6" applyFont="1" applyBorder="1" applyAlignment="1">
      <alignment horizontal="center" vertical="center"/>
    </xf>
    <xf numFmtId="0" fontId="5" fillId="0" borderId="2" xfId="6" applyFont="1" applyBorder="1" applyAlignment="1">
      <alignment horizontal="right"/>
    </xf>
    <xf numFmtId="0" fontId="5" fillId="0" borderId="0" xfId="6" applyFont="1" applyAlignment="1">
      <alignment horizontal="right"/>
    </xf>
    <xf numFmtId="0" fontId="8" fillId="0" borderId="0" xfId="6" applyFont="1" applyAlignment="1">
      <alignment horizontal="center"/>
    </xf>
    <xf numFmtId="41" fontId="9" fillId="0" borderId="0" xfId="6" applyNumberFormat="1" applyFont="1" applyAlignment="1">
      <alignment horizontal="right" vertical="center"/>
    </xf>
    <xf numFmtId="0" fontId="31" fillId="0" borderId="0" xfId="0" applyFont="1"/>
    <xf numFmtId="0" fontId="41" fillId="0" borderId="0" xfId="16" applyFont="1"/>
    <xf numFmtId="0" fontId="57" fillId="0" borderId="0" xfId="16" applyFont="1"/>
    <xf numFmtId="0" fontId="58" fillId="0" borderId="0" xfId="0" applyFont="1"/>
    <xf numFmtId="0" fontId="59" fillId="0" borderId="0" xfId="0" applyFont="1"/>
    <xf numFmtId="0" fontId="5" fillId="0" borderId="0" xfId="0" applyFont="1" applyAlignment="1">
      <alignment horizontal="right"/>
    </xf>
    <xf numFmtId="0" fontId="7" fillId="0" borderId="0" xfId="0" applyFont="1"/>
    <xf numFmtId="0" fontId="7" fillId="0" borderId="13" xfId="16" applyFont="1" applyBorder="1" applyAlignment="1">
      <alignment horizontal="center"/>
    </xf>
    <xf numFmtId="0" fontId="7" fillId="0" borderId="29" xfId="16" applyFont="1" applyBorder="1" applyAlignment="1">
      <alignment horizontal="center" vertical="center"/>
    </xf>
    <xf numFmtId="0" fontId="7" fillId="0" borderId="14" xfId="16" applyFont="1" applyBorder="1" applyAlignment="1">
      <alignment vertical="center"/>
    </xf>
    <xf numFmtId="0" fontId="7" fillId="0" borderId="14" xfId="16" applyFont="1" applyBorder="1" applyAlignment="1">
      <alignment horizontal="center"/>
    </xf>
    <xf numFmtId="0" fontId="7" fillId="0" borderId="14" xfId="16" quotePrefix="1" applyFont="1" applyBorder="1" applyAlignment="1">
      <alignment horizontal="center"/>
    </xf>
    <xf numFmtId="30" fontId="7" fillId="0" borderId="14" xfId="16" quotePrefix="1" applyNumberFormat="1" applyFont="1" applyBorder="1" applyAlignment="1">
      <alignment horizontal="left"/>
    </xf>
    <xf numFmtId="186" fontId="7" fillId="0" borderId="14" xfId="7" applyNumberFormat="1" applyFont="1" applyBorder="1" applyAlignment="1">
      <alignment horizontal="center"/>
    </xf>
    <xf numFmtId="30" fontId="7" fillId="0" borderId="14" xfId="16" applyNumberFormat="1" applyFont="1" applyBorder="1" applyAlignment="1">
      <alignment horizontal="center"/>
    </xf>
    <xf numFmtId="30" fontId="7" fillId="0" borderId="4" xfId="16" applyNumberFormat="1" applyFont="1" applyBorder="1" applyAlignment="1">
      <alignment horizontal="left"/>
    </xf>
    <xf numFmtId="30" fontId="7" fillId="0" borderId="4" xfId="16" applyNumberFormat="1" applyFont="1" applyBorder="1" applyAlignment="1">
      <alignment horizontal="center"/>
    </xf>
    <xf numFmtId="186" fontId="7" fillId="0" borderId="4" xfId="16" applyNumberFormat="1" applyFont="1" applyBorder="1" applyAlignment="1">
      <alignment horizontal="center"/>
    </xf>
    <xf numFmtId="3" fontId="7" fillId="0" borderId="4" xfId="16" applyNumberFormat="1" applyFont="1" applyBorder="1" applyAlignment="1">
      <alignment horizontal="left" indent="1"/>
    </xf>
    <xf numFmtId="0" fontId="7" fillId="0" borderId="4" xfId="16" applyFont="1" applyBorder="1"/>
    <xf numFmtId="186" fontId="7" fillId="0" borderId="4" xfId="7" applyNumberFormat="1" applyFont="1" applyFill="1" applyBorder="1"/>
    <xf numFmtId="9" fontId="7" fillId="0" borderId="4" xfId="8" applyFont="1" applyFill="1" applyBorder="1" applyAlignment="1">
      <alignment horizontal="center"/>
    </xf>
    <xf numFmtId="186" fontId="7" fillId="0" borderId="4" xfId="7" applyNumberFormat="1" applyFont="1" applyFill="1" applyBorder="1" applyAlignment="1">
      <alignment horizontal="center"/>
    </xf>
    <xf numFmtId="0" fontId="59" fillId="0" borderId="4" xfId="0" applyFont="1" applyBorder="1"/>
    <xf numFmtId="186" fontId="59" fillId="0" borderId="4" xfId="0" applyNumberFormat="1" applyFont="1" applyBorder="1"/>
    <xf numFmtId="0" fontId="59" fillId="0" borderId="4" xfId="16" applyFont="1" applyBorder="1"/>
    <xf numFmtId="186" fontId="7" fillId="0" borderId="4" xfId="16" applyNumberFormat="1" applyFont="1" applyBorder="1"/>
    <xf numFmtId="0" fontId="59" fillId="0" borderId="0" xfId="16" applyFont="1"/>
    <xf numFmtId="0" fontId="7" fillId="0" borderId="0" xfId="16" applyFont="1"/>
    <xf numFmtId="0" fontId="9" fillId="0" borderId="0" xfId="0" applyFont="1"/>
    <xf numFmtId="0" fontId="4" fillId="0" borderId="0" xfId="16" applyFont="1"/>
    <xf numFmtId="0" fontId="2" fillId="0" borderId="0" xfId="0" applyFont="1" applyAlignment="1">
      <alignment horizontal="left"/>
    </xf>
    <xf numFmtId="0" fontId="43" fillId="0" borderId="0" xfId="0" applyFont="1"/>
    <xf numFmtId="0" fontId="41" fillId="0" borderId="0" xfId="0" applyFont="1"/>
    <xf numFmtId="0" fontId="7" fillId="0" borderId="0" xfId="0" quotePrefix="1" applyFont="1" applyAlignment="1">
      <alignment horizontal="left"/>
    </xf>
    <xf numFmtId="0" fontId="7" fillId="0" borderId="79" xfId="0" applyFont="1" applyBorder="1" applyAlignment="1">
      <alignment vertical="center"/>
    </xf>
    <xf numFmtId="0" fontId="7" fillId="0" borderId="14" xfId="0" applyFont="1" applyBorder="1" applyAlignment="1">
      <alignment vertical="center"/>
    </xf>
    <xf numFmtId="0" fontId="7" fillId="0" borderId="4" xfId="0" applyFont="1" applyBorder="1" applyAlignment="1">
      <alignment vertical="center"/>
    </xf>
    <xf numFmtId="0" fontId="12" fillId="0" borderId="0" xfId="0" applyFont="1"/>
    <xf numFmtId="184" fontId="12" fillId="0" borderId="0" xfId="7" applyNumberFormat="1" applyFont="1" applyFill="1" applyBorder="1" applyAlignment="1">
      <alignment horizontal="center"/>
    </xf>
    <xf numFmtId="184" fontId="7" fillId="0" borderId="0" xfId="7" applyNumberFormat="1" applyFont="1" applyFill="1" applyBorder="1" applyAlignment="1">
      <alignment horizontal="center"/>
    </xf>
    <xf numFmtId="0" fontId="10" fillId="0" borderId="0" xfId="0" applyFont="1"/>
    <xf numFmtId="0" fontId="7" fillId="0" borderId="79" xfId="0" applyFont="1" applyBorder="1"/>
    <xf numFmtId="0" fontId="4" fillId="0" borderId="4" xfId="0" applyFont="1" applyBorder="1" applyAlignment="1">
      <alignment vertical="center"/>
    </xf>
    <xf numFmtId="0" fontId="7" fillId="0" borderId="80" xfId="0" applyFont="1" applyBorder="1"/>
    <xf numFmtId="0" fontId="7" fillId="0" borderId="29" xfId="0" applyFont="1" applyBorder="1"/>
    <xf numFmtId="192" fontId="7" fillId="0" borderId="7" xfId="0" applyNumberFormat="1" applyFont="1" applyBorder="1" applyAlignment="1">
      <alignment horizontal="center" vertical="center" wrapText="1"/>
    </xf>
    <xf numFmtId="192" fontId="7" fillId="0" borderId="2" xfId="0" applyNumberFormat="1" applyFont="1" applyBorder="1" applyAlignment="1">
      <alignment horizontal="center" vertical="center" wrapText="1"/>
    </xf>
    <xf numFmtId="192" fontId="7" fillId="0" borderId="2" xfId="0" applyNumberFormat="1" applyFont="1" applyBorder="1" applyAlignment="1">
      <alignment vertical="center" wrapText="1"/>
    </xf>
    <xf numFmtId="192" fontId="7" fillId="0" borderId="9" xfId="0" applyNumberFormat="1" applyFont="1" applyBorder="1" applyAlignment="1">
      <alignment vertical="center" wrapText="1"/>
    </xf>
    <xf numFmtId="0" fontId="7" fillId="0" borderId="4" xfId="0" applyFont="1" applyBorder="1"/>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0" fillId="0" borderId="7" xfId="0" applyFont="1" applyBorder="1" applyAlignment="1">
      <alignment horizontal="left" vertical="top" wrapText="1"/>
    </xf>
    <xf numFmtId="0" fontId="60" fillId="0" borderId="9" xfId="0" applyFont="1" applyBorder="1" applyAlignment="1">
      <alignment horizontal="left" vertical="top" wrapText="1"/>
    </xf>
    <xf numFmtId="0" fontId="7" fillId="0" borderId="13" xfId="0" applyFont="1" applyBorder="1"/>
    <xf numFmtId="0" fontId="7" fillId="0" borderId="29" xfId="0" applyFont="1" applyBorder="1" applyAlignment="1">
      <alignment horizontal="left"/>
    </xf>
    <xf numFmtId="0" fontId="7" fillId="0" borderId="14" xfId="0" applyFont="1" applyBorder="1"/>
    <xf numFmtId="0" fontId="5" fillId="0" borderId="0" xfId="0" applyFont="1" applyAlignment="1">
      <alignment vertical="top"/>
    </xf>
    <xf numFmtId="0" fontId="7" fillId="0" borderId="0" xfId="0" applyFont="1" applyAlignment="1">
      <alignment horizontal="center"/>
    </xf>
    <xf numFmtId="0" fontId="7" fillId="0" borderId="6" xfId="0" applyFont="1" applyBorder="1"/>
    <xf numFmtId="0" fontId="7" fillId="0" borderId="79" xfId="0" applyFont="1" applyBorder="1" applyAlignment="1">
      <alignment horizontal="center" vertical="center"/>
    </xf>
    <xf numFmtId="0" fontId="7" fillId="0" borderId="83" xfId="0" applyFont="1" applyBorder="1" applyAlignment="1">
      <alignment horizontal="center" vertical="center"/>
    </xf>
    <xf numFmtId="182" fontId="7" fillId="0" borderId="14" xfId="0" applyNumberFormat="1" applyFont="1" applyBorder="1" applyAlignment="1">
      <alignment horizontal="center"/>
    </xf>
    <xf numFmtId="182" fontId="7" fillId="0" borderId="6" xfId="0" applyNumberFormat="1" applyFont="1" applyBorder="1" applyAlignment="1">
      <alignment vertical="center"/>
    </xf>
    <xf numFmtId="182" fontId="7" fillId="0" borderId="0" xfId="0" applyNumberFormat="1" applyFont="1"/>
    <xf numFmtId="0" fontId="7" fillId="0" borderId="4" xfId="0" applyFont="1" applyBorder="1" applyAlignment="1">
      <alignment horizontal="center" vertical="center"/>
    </xf>
    <xf numFmtId="182" fontId="7" fillId="0" borderId="4" xfId="0" applyNumberFormat="1"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vertical="center"/>
    </xf>
    <xf numFmtId="176" fontId="61" fillId="0" borderId="79" xfId="0" applyNumberFormat="1" applyFont="1" applyBorder="1" applyAlignment="1">
      <alignment horizontal="center" vertical="center" wrapText="1"/>
    </xf>
    <xf numFmtId="181" fontId="7" fillId="0" borderId="14" xfId="0" applyNumberFormat="1" applyFont="1" applyBorder="1" applyAlignment="1">
      <alignment horizontal="center" vertical="center"/>
    </xf>
    <xf numFmtId="193" fontId="62" fillId="0" borderId="14" xfId="0" applyNumberFormat="1" applyFont="1" applyBorder="1" applyAlignment="1">
      <alignment horizontal="center" vertical="center"/>
    </xf>
    <xf numFmtId="176" fontId="62" fillId="0" borderId="14" xfId="0" applyNumberFormat="1" applyFont="1" applyBorder="1" applyAlignment="1">
      <alignment horizontal="center" vertical="center"/>
    </xf>
    <xf numFmtId="176" fontId="62" fillId="0" borderId="14" xfId="0" applyNumberFormat="1" applyFont="1" applyBorder="1" applyAlignment="1">
      <alignment horizontal="right" vertical="center"/>
    </xf>
    <xf numFmtId="193" fontId="62" fillId="0" borderId="14" xfId="0" applyNumberFormat="1" applyFont="1" applyBorder="1" applyAlignment="1">
      <alignment horizontal="center" vertical="center" wrapText="1"/>
    </xf>
    <xf numFmtId="176" fontId="62" fillId="0" borderId="14" xfId="0" applyNumberFormat="1" applyFont="1" applyBorder="1" applyAlignment="1">
      <alignment horizontal="right" vertical="center" wrapText="1"/>
    </xf>
    <xf numFmtId="181" fontId="7" fillId="0" borderId="4" xfId="0" applyNumberFormat="1" applyFont="1" applyBorder="1" applyAlignment="1">
      <alignment horizontal="center" vertical="center"/>
    </xf>
    <xf numFmtId="193" fontId="62" fillId="0" borderId="4" xfId="0" applyNumberFormat="1" applyFont="1" applyBorder="1" applyAlignment="1">
      <alignment horizontal="center" vertical="center"/>
    </xf>
    <xf numFmtId="176" fontId="62" fillId="0" borderId="4" xfId="0" applyNumberFormat="1" applyFont="1" applyBorder="1" applyAlignment="1">
      <alignment horizontal="center" vertical="center"/>
    </xf>
    <xf numFmtId="176" fontId="62" fillId="0" borderId="4" xfId="0" applyNumberFormat="1" applyFont="1" applyBorder="1" applyAlignment="1">
      <alignment horizontal="right" vertical="center"/>
    </xf>
    <xf numFmtId="193" fontId="62" fillId="0" borderId="4" xfId="0" applyNumberFormat="1" applyFont="1" applyBorder="1" applyAlignment="1">
      <alignment horizontal="center" vertical="center" wrapText="1"/>
    </xf>
    <xf numFmtId="176" fontId="62" fillId="0" borderId="4" xfId="0" applyNumberFormat="1" applyFont="1" applyBorder="1" applyAlignment="1">
      <alignment horizontal="right" vertical="center" wrapText="1"/>
    </xf>
    <xf numFmtId="181" fontId="62" fillId="0" borderId="4" xfId="0" applyNumberFormat="1" applyFont="1" applyBorder="1" applyAlignment="1">
      <alignment horizontal="right" vertical="center"/>
    </xf>
    <xf numFmtId="181" fontId="62" fillId="0" borderId="4" xfId="0" applyNumberFormat="1" applyFont="1" applyBorder="1" applyAlignment="1">
      <alignment horizontal="right" vertical="center" wrapText="1"/>
    </xf>
    <xf numFmtId="184" fontId="7" fillId="0" borderId="4" xfId="0" applyNumberFormat="1" applyFont="1" applyBorder="1" applyAlignment="1">
      <alignment horizontal="center" vertical="center"/>
    </xf>
    <xf numFmtId="0" fontId="7" fillId="0" borderId="0" xfId="0" applyFont="1" applyAlignment="1">
      <alignment horizontal="center" vertical="center"/>
    </xf>
    <xf numFmtId="182" fontId="7" fillId="0" borderId="0" xfId="0" applyNumberFormat="1" applyFont="1" applyAlignment="1">
      <alignment horizontal="center" vertical="center"/>
    </xf>
    <xf numFmtId="0" fontId="44" fillId="0" borderId="0" xfId="14" applyFont="1"/>
    <xf numFmtId="0" fontId="44" fillId="0" borderId="0" xfId="14" applyFont="1" applyBorder="1"/>
    <xf numFmtId="0" fontId="4" fillId="0" borderId="2" xfId="14" applyFont="1" applyBorder="1" applyAlignment="1">
      <alignment horizontal="center" vertical="center"/>
    </xf>
    <xf numFmtId="0" fontId="4" fillId="0" borderId="4" xfId="14" applyFont="1" applyBorder="1" applyAlignment="1">
      <alignment horizontal="center" vertical="center"/>
    </xf>
    <xf numFmtId="0" fontId="4" fillId="0" borderId="5" xfId="14" applyFont="1" applyBorder="1" applyAlignment="1">
      <alignment horizontal="center" vertical="center"/>
    </xf>
    <xf numFmtId="41" fontId="4" fillId="0" borderId="6" xfId="14" applyNumberFormat="1" applyFont="1" applyBorder="1" applyAlignment="1">
      <alignment horizontal="center" vertical="center"/>
    </xf>
    <xf numFmtId="0" fontId="7" fillId="0" borderId="0" xfId="14" applyBorder="1"/>
    <xf numFmtId="41" fontId="4" fillId="0" borderId="0" xfId="14" applyNumberFormat="1" applyFont="1" applyBorder="1" applyAlignment="1">
      <alignment horizontal="center" vertical="center"/>
    </xf>
    <xf numFmtId="41" fontId="7" fillId="0" borderId="0" xfId="14" applyNumberFormat="1" applyFont="1" applyBorder="1" applyAlignment="1">
      <alignment horizontal="center" vertical="center"/>
    </xf>
    <xf numFmtId="41" fontId="7" fillId="0" borderId="6" xfId="14" applyNumberFormat="1" applyFont="1" applyBorder="1" applyAlignment="1">
      <alignment horizontal="center" vertical="center"/>
    </xf>
    <xf numFmtId="41" fontId="7" fillId="0" borderId="0" xfId="14" applyNumberFormat="1" applyFont="1" applyFill="1" applyBorder="1" applyAlignment="1">
      <alignment horizontal="center" vertical="center"/>
    </xf>
    <xf numFmtId="178" fontId="7" fillId="0" borderId="0" xfId="14" applyNumberFormat="1" applyFont="1" applyAlignment="1">
      <alignment vertical="center"/>
    </xf>
    <xf numFmtId="178" fontId="7" fillId="0" borderId="2" xfId="14" applyNumberFormat="1" applyFont="1" applyBorder="1" applyAlignment="1">
      <alignment vertical="center"/>
    </xf>
    <xf numFmtId="0" fontId="17" fillId="0" borderId="0" xfId="14" applyFont="1"/>
    <xf numFmtId="0" fontId="17" fillId="0" borderId="2" xfId="14" applyFont="1" applyBorder="1"/>
    <xf numFmtId="0" fontId="5" fillId="0" borderId="2" xfId="17" applyFont="1" applyBorder="1" applyAlignment="1">
      <alignment horizontal="right"/>
    </xf>
    <xf numFmtId="0" fontId="7" fillId="0" borderId="0" xfId="17" applyFont="1"/>
    <xf numFmtId="0" fontId="63" fillId="0" borderId="0" xfId="17" applyFont="1"/>
    <xf numFmtId="0" fontId="7" fillId="0" borderId="0" xfId="17"/>
    <xf numFmtId="0" fontId="63" fillId="0" borderId="0" xfId="17" applyFont="1" applyBorder="1"/>
    <xf numFmtId="0" fontId="4" fillId="0" borderId="2" xfId="17" applyFont="1" applyBorder="1" applyAlignment="1">
      <alignment horizontal="center" vertical="center"/>
    </xf>
    <xf numFmtId="0" fontId="4" fillId="0" borderId="4" xfId="17" applyFont="1" applyBorder="1" applyAlignment="1">
      <alignment horizontal="center" vertical="center"/>
    </xf>
    <xf numFmtId="0" fontId="4" fillId="0" borderId="5" xfId="17" applyFont="1" applyBorder="1" applyAlignment="1">
      <alignment horizontal="center" vertical="center"/>
    </xf>
    <xf numFmtId="0" fontId="4" fillId="0" borderId="3" xfId="17" applyFont="1" applyBorder="1" applyAlignment="1">
      <alignment horizontal="center" vertical="center"/>
    </xf>
    <xf numFmtId="41" fontId="7" fillId="0" borderId="0" xfId="13" applyNumberFormat="1" applyFont="1" applyBorder="1" applyAlignment="1">
      <alignment horizontal="center" vertical="center"/>
    </xf>
    <xf numFmtId="41" fontId="5" fillId="0" borderId="0" xfId="17" applyNumberFormat="1" applyFont="1" applyBorder="1" applyAlignment="1">
      <alignment horizontal="center" vertical="center"/>
    </xf>
    <xf numFmtId="0" fontId="7" fillId="0" borderId="0" xfId="17" applyFont="1" applyBorder="1"/>
    <xf numFmtId="0" fontId="7" fillId="0" borderId="0" xfId="17" applyBorder="1"/>
    <xf numFmtId="41" fontId="7" fillId="0" borderId="0" xfId="13" applyNumberFormat="1" applyFont="1" applyFill="1" applyBorder="1" applyAlignment="1">
      <alignment horizontal="center" vertical="center"/>
    </xf>
    <xf numFmtId="41" fontId="7" fillId="0" borderId="7" xfId="13" applyNumberFormat="1" applyFont="1" applyBorder="1" applyAlignment="1">
      <alignment horizontal="center" vertical="center"/>
    </xf>
    <xf numFmtId="41" fontId="7" fillId="0" borderId="2" xfId="13" applyNumberFormat="1" applyFont="1" applyBorder="1" applyAlignment="1">
      <alignment horizontal="center" vertical="center"/>
    </xf>
    <xf numFmtId="179" fontId="5" fillId="0" borderId="0" xfId="17" applyNumberFormat="1" applyFont="1" applyAlignment="1">
      <alignment vertical="center"/>
    </xf>
    <xf numFmtId="0" fontId="5" fillId="0" borderId="0" xfId="17" applyFont="1" applyAlignment="1">
      <alignment vertical="center"/>
    </xf>
    <xf numFmtId="179" fontId="1" fillId="0" borderId="0" xfId="17" applyNumberFormat="1" applyFont="1"/>
    <xf numFmtId="0" fontId="18" fillId="0" borderId="0" xfId="17" applyFont="1"/>
    <xf numFmtId="0" fontId="17" fillId="0" borderId="0" xfId="17" applyFont="1"/>
    <xf numFmtId="0" fontId="64" fillId="0" borderId="0" xfId="17" applyFont="1"/>
    <xf numFmtId="0" fontId="64" fillId="0" borderId="2" xfId="17" applyFont="1" applyBorder="1"/>
    <xf numFmtId="0" fontId="4" fillId="0" borderId="5" xfId="17" applyFont="1" applyBorder="1" applyAlignment="1">
      <alignment horizontal="center" vertical="center" wrapText="1"/>
    </xf>
    <xf numFmtId="41" fontId="5" fillId="0" borderId="3" xfId="17" applyNumberFormat="1" applyFont="1" applyBorder="1" applyAlignment="1">
      <alignment horizontal="center" vertical="center"/>
    </xf>
    <xf numFmtId="41" fontId="65" fillId="0" borderId="0" xfId="17" applyNumberFormat="1" applyFont="1"/>
    <xf numFmtId="0" fontId="65" fillId="0" borderId="0" xfId="17" applyFont="1"/>
    <xf numFmtId="41" fontId="7" fillId="0" borderId="0" xfId="17" applyNumberFormat="1"/>
    <xf numFmtId="0" fontId="10" fillId="0" borderId="8" xfId="6" applyFont="1" applyBorder="1" applyAlignment="1">
      <alignment horizontal="right" vertical="center"/>
    </xf>
    <xf numFmtId="0" fontId="10" fillId="0" borderId="0" xfId="6" applyFont="1" applyBorder="1" applyAlignment="1">
      <alignment horizontal="right" vertical="center"/>
    </xf>
    <xf numFmtId="41" fontId="4" fillId="0" borderId="0" xfId="17" applyNumberFormat="1" applyFont="1" applyBorder="1" applyAlignment="1">
      <alignment horizontal="center" vertical="center"/>
    </xf>
    <xf numFmtId="0" fontId="12" fillId="0" borderId="8" xfId="6" applyFont="1" applyBorder="1" applyAlignment="1">
      <alignment horizontal="right" vertical="center"/>
    </xf>
    <xf numFmtId="0" fontId="12" fillId="0" borderId="0" xfId="6" applyFont="1" applyBorder="1" applyAlignment="1">
      <alignment horizontal="right" vertical="center"/>
    </xf>
    <xf numFmtId="41" fontId="4" fillId="0" borderId="0" xfId="17" applyNumberFormat="1" applyFont="1" applyFill="1" applyBorder="1" applyAlignment="1">
      <alignment horizontal="center" vertical="center"/>
    </xf>
    <xf numFmtId="41" fontId="4" fillId="0" borderId="2" xfId="17" applyNumberFormat="1" applyFont="1" applyBorder="1" applyAlignment="1">
      <alignment horizontal="center" vertical="center"/>
    </xf>
    <xf numFmtId="41" fontId="7" fillId="0" borderId="12" xfId="6" applyNumberFormat="1" applyFont="1" applyBorder="1" applyAlignment="1">
      <alignment horizontal="center" vertical="center"/>
    </xf>
    <xf numFmtId="41" fontId="7" fillId="0" borderId="3" xfId="6" applyNumberFormat="1" applyFont="1" applyBorder="1" applyAlignment="1">
      <alignment horizontal="center" vertical="center"/>
    </xf>
    <xf numFmtId="43" fontId="7" fillId="0" borderId="5" xfId="6" applyNumberFormat="1" applyFont="1" applyFill="1" applyBorder="1" applyAlignment="1">
      <alignment horizontal="center" vertical="center"/>
    </xf>
    <xf numFmtId="43" fontId="7" fillId="0" borderId="10" xfId="6" applyNumberFormat="1" applyFont="1" applyFill="1" applyBorder="1" applyAlignment="1">
      <alignment horizontal="center" vertical="center"/>
    </xf>
    <xf numFmtId="43" fontId="7" fillId="0" borderId="5" xfId="6" applyNumberFormat="1" applyFont="1" applyBorder="1" applyAlignment="1">
      <alignment horizontal="center" vertical="center"/>
    </xf>
    <xf numFmtId="43" fontId="7" fillId="0" borderId="10" xfId="6" applyNumberFormat="1" applyFont="1" applyBorder="1" applyAlignment="1">
      <alignment horizontal="center" vertical="center"/>
    </xf>
    <xf numFmtId="41" fontId="5" fillId="0" borderId="0" xfId="6" applyNumberFormat="1" applyFont="1" applyBorder="1" applyAlignment="1">
      <alignment vertical="center"/>
    </xf>
    <xf numFmtId="0" fontId="2" fillId="0" borderId="0" xfId="6" applyFont="1" applyAlignment="1">
      <alignment horizontal="center" vertical="center"/>
    </xf>
    <xf numFmtId="0" fontId="4" fillId="0" borderId="5"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1" fillId="0" borderId="0" xfId="6" applyFont="1" applyFill="1"/>
    <xf numFmtId="0" fontId="5" fillId="0" borderId="4"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7" fillId="0" borderId="0" xfId="4" applyFont="1" applyFill="1"/>
    <xf numFmtId="0" fontId="10" fillId="0" borderId="4" xfId="3" applyFont="1" applyFill="1" applyBorder="1" applyAlignment="1">
      <alignment horizontal="center" vertical="center" wrapText="1"/>
    </xf>
    <xf numFmtId="0" fontId="21" fillId="0" borderId="4" xfId="3" applyFont="1" applyFill="1" applyBorder="1" applyAlignment="1">
      <alignment horizontal="center" vertical="center" wrapText="1"/>
    </xf>
    <xf numFmtId="0" fontId="5" fillId="0" borderId="0" xfId="4" applyFont="1" applyFill="1"/>
    <xf numFmtId="0" fontId="10" fillId="0" borderId="0" xfId="6" applyFont="1" applyBorder="1" applyAlignment="1">
      <alignment horizontal="center" vertical="center"/>
    </xf>
    <xf numFmtId="0" fontId="10" fillId="0" borderId="0" xfId="6" applyFont="1" applyBorder="1" applyAlignment="1">
      <alignment horizontal="center" vertical="center" wrapText="1"/>
    </xf>
    <xf numFmtId="41" fontId="14" fillId="0" borderId="0" xfId="6" applyNumberFormat="1" applyFont="1" applyBorder="1" applyAlignment="1">
      <alignment vertical="center"/>
    </xf>
    <xf numFmtId="0" fontId="5" fillId="0" borderId="8"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10" fillId="0" borderId="9" xfId="6" applyFont="1" applyBorder="1" applyAlignment="1">
      <alignment horizontal="center" vertical="center"/>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4" fillId="0" borderId="2" xfId="6" applyFont="1" applyBorder="1" applyAlignment="1"/>
    <xf numFmtId="0" fontId="4" fillId="0" borderId="5" xfId="6" applyFont="1" applyBorder="1" applyAlignment="1">
      <alignment horizontal="center" vertical="center"/>
    </xf>
    <xf numFmtId="0" fontId="2" fillId="0" borderId="0" xfId="6" applyFont="1" applyAlignment="1">
      <alignment horizontal="left"/>
    </xf>
    <xf numFmtId="0" fontId="5" fillId="0" borderId="3" xfId="6" applyFont="1" applyBorder="1" applyAlignment="1">
      <alignment vertical="center"/>
    </xf>
    <xf numFmtId="0" fontId="4" fillId="0" borderId="8" xfId="6" applyFont="1" applyBorder="1" applyAlignment="1">
      <alignment horizontal="center" vertical="center"/>
    </xf>
    <xf numFmtId="41" fontId="6" fillId="0" borderId="0" xfId="6" applyNumberFormat="1" applyFont="1" applyFill="1"/>
    <xf numFmtId="0" fontId="66" fillId="0" borderId="0" xfId="6" applyFont="1"/>
    <xf numFmtId="0" fontId="10" fillId="0" borderId="9" xfId="6" applyFont="1" applyBorder="1" applyAlignment="1">
      <alignment horizontal="center" vertical="center"/>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5" xfId="6" applyFont="1" applyBorder="1" applyAlignment="1">
      <alignment horizontal="center" vertical="center" wrapText="1"/>
    </xf>
    <xf numFmtId="41" fontId="12" fillId="0" borderId="0" xfId="6" applyNumberFormat="1" applyFont="1" applyFill="1" applyAlignment="1">
      <alignment horizontal="center" vertical="center"/>
    </xf>
    <xf numFmtId="0" fontId="10" fillId="0" borderId="4"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5" xfId="3" applyFont="1" applyFill="1" applyBorder="1" applyAlignment="1">
      <alignment horizontal="center" vertical="center" wrapText="1"/>
    </xf>
    <xf numFmtId="0" fontId="4" fillId="0" borderId="4" xfId="3" applyFont="1" applyFill="1" applyBorder="1" applyAlignment="1">
      <alignment horizontal="center" vertical="center"/>
    </xf>
    <xf numFmtId="0" fontId="4" fillId="0" borderId="4" xfId="3" applyFont="1" applyFill="1" applyBorder="1" applyAlignment="1">
      <alignment horizontal="center" vertical="center" wrapText="1"/>
    </xf>
    <xf numFmtId="0" fontId="10" fillId="0" borderId="11" xfId="3" applyFont="1" applyFill="1" applyBorder="1" applyAlignment="1">
      <alignment horizontal="center" vertical="center" wrapText="1"/>
    </xf>
    <xf numFmtId="3" fontId="4" fillId="0" borderId="8" xfId="3" applyNumberFormat="1" applyFont="1" applyFill="1" applyBorder="1" applyAlignment="1">
      <alignment horizontal="center" vertical="center"/>
    </xf>
    <xf numFmtId="41" fontId="21" fillId="0" borderId="12" xfId="3" applyNumberFormat="1" applyFont="1" applyFill="1" applyBorder="1" applyAlignment="1">
      <alignment horizontal="center" vertical="center"/>
    </xf>
    <xf numFmtId="41" fontId="21" fillId="0" borderId="3" xfId="3" applyNumberFormat="1" applyFont="1" applyFill="1" applyBorder="1" applyAlignment="1">
      <alignment horizontal="center" vertical="center"/>
    </xf>
    <xf numFmtId="0" fontId="15" fillId="0" borderId="0" xfId="3" applyFont="1" applyFill="1" applyBorder="1"/>
    <xf numFmtId="3" fontId="10" fillId="0" borderId="9" xfId="3" applyNumberFormat="1" applyFont="1" applyFill="1" applyBorder="1" applyAlignment="1">
      <alignment horizontal="center" vertical="center"/>
    </xf>
    <xf numFmtId="0" fontId="2" fillId="0" borderId="0" xfId="6" applyFont="1" applyFill="1" applyAlignment="1">
      <alignment vertical="center"/>
    </xf>
    <xf numFmtId="0" fontId="5" fillId="0" borderId="4" xfId="3" applyFont="1" applyFill="1" applyBorder="1" applyAlignment="1">
      <alignment horizontal="center" vertical="center"/>
    </xf>
    <xf numFmtId="0" fontId="5" fillId="0" borderId="4"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0" xfId="4" applyFont="1" applyFill="1" applyAlignment="1">
      <alignment vertical="center"/>
    </xf>
    <xf numFmtId="3" fontId="5" fillId="0" borderId="8" xfId="3" applyNumberFormat="1" applyFont="1" applyFill="1" applyBorder="1" applyAlignment="1">
      <alignment horizontal="center" vertical="center"/>
    </xf>
    <xf numFmtId="41" fontId="9" fillId="0" borderId="0" xfId="3" applyNumberFormat="1" applyFont="1" applyFill="1" applyAlignment="1">
      <alignment horizontal="center" vertical="center"/>
    </xf>
    <xf numFmtId="3" fontId="5" fillId="0" borderId="9" xfId="3" applyNumberFormat="1" applyFont="1" applyFill="1" applyBorder="1" applyAlignment="1">
      <alignment horizontal="center" vertical="center"/>
    </xf>
    <xf numFmtId="0" fontId="4" fillId="0" borderId="2" xfId="3" applyFont="1" applyFill="1" applyBorder="1"/>
    <xf numFmtId="0" fontId="5" fillId="0" borderId="11" xfId="3" applyFont="1" applyFill="1" applyBorder="1" applyAlignment="1">
      <alignment horizontal="center" vertical="center" wrapText="1"/>
    </xf>
    <xf numFmtId="3" fontId="4" fillId="0" borderId="0" xfId="3" applyNumberFormat="1" applyFont="1" applyFill="1" applyAlignment="1">
      <alignment horizontal="right"/>
    </xf>
    <xf numFmtId="41" fontId="4" fillId="0" borderId="0" xfId="3" applyNumberFormat="1" applyFont="1" applyFill="1" applyAlignment="1">
      <alignment horizontal="right"/>
    </xf>
    <xf numFmtId="0" fontId="10" fillId="0" borderId="0" xfId="3" applyFont="1" applyFill="1"/>
    <xf numFmtId="41" fontId="12" fillId="0" borderId="0" xfId="3" applyNumberFormat="1" applyFont="1" applyFill="1" applyAlignment="1">
      <alignment vertical="center"/>
    </xf>
    <xf numFmtId="178" fontId="12" fillId="0" borderId="0" xfId="3" applyNumberFormat="1" applyFont="1" applyFill="1" applyAlignment="1">
      <alignment vertical="center"/>
    </xf>
    <xf numFmtId="41" fontId="12" fillId="0" borderId="6" xfId="3" applyNumberFormat="1" applyFont="1" applyFill="1" applyBorder="1" applyAlignment="1">
      <alignment vertical="center"/>
    </xf>
    <xf numFmtId="41" fontId="12" fillId="0" borderId="7" xfId="3" applyNumberFormat="1" applyFont="1" applyFill="1" applyBorder="1" applyAlignment="1">
      <alignment vertical="center"/>
    </xf>
    <xf numFmtId="41" fontId="12" fillId="0" borderId="2" xfId="3" applyNumberFormat="1" applyFont="1" applyFill="1" applyBorder="1" applyAlignment="1">
      <alignment vertical="center"/>
    </xf>
    <xf numFmtId="41" fontId="4" fillId="0" borderId="0" xfId="3" applyNumberFormat="1" applyFont="1" applyFill="1"/>
    <xf numFmtId="3" fontId="4" fillId="0" borderId="9" xfId="3" applyNumberFormat="1" applyFont="1" applyFill="1" applyBorder="1" applyAlignment="1">
      <alignment horizontal="center" vertical="center"/>
    </xf>
    <xf numFmtId="41" fontId="9" fillId="0" borderId="0" xfId="3" applyNumberFormat="1" applyFont="1" applyFill="1" applyAlignment="1">
      <alignment vertical="center"/>
    </xf>
    <xf numFmtId="41" fontId="12" fillId="0" borderId="6" xfId="3" applyNumberFormat="1" applyFont="1" applyFill="1" applyBorder="1" applyAlignment="1">
      <alignment horizontal="center" vertical="center"/>
    </xf>
    <xf numFmtId="41" fontId="12" fillId="0" borderId="0" xfId="3" applyNumberFormat="1" applyFont="1" applyFill="1" applyAlignment="1">
      <alignment horizontal="center" vertical="center"/>
    </xf>
    <xf numFmtId="41" fontId="12" fillId="0" borderId="0" xfId="3" applyNumberFormat="1" applyFont="1" applyFill="1" applyAlignment="1">
      <alignment horizontal="right" vertical="center"/>
    </xf>
    <xf numFmtId="41" fontId="12" fillId="0" borderId="2" xfId="3" applyNumberFormat="1" applyFont="1" applyFill="1" applyBorder="1" applyAlignment="1">
      <alignment horizontal="center" vertical="center"/>
    </xf>
    <xf numFmtId="0" fontId="4" fillId="0" borderId="10" xfId="3" applyFont="1" applyFill="1" applyBorder="1" applyAlignment="1">
      <alignment horizontal="center" vertical="center" wrapText="1"/>
    </xf>
    <xf numFmtId="0" fontId="4" fillId="0" borderId="11" xfId="3" applyFont="1" applyFill="1" applyBorder="1" applyAlignment="1">
      <alignment horizontal="center" vertical="center" wrapText="1" shrinkToFit="1"/>
    </xf>
    <xf numFmtId="0" fontId="4" fillId="0" borderId="5" xfId="3" applyFont="1" applyFill="1" applyBorder="1" applyAlignment="1">
      <alignment horizontal="center" vertical="center" wrapText="1"/>
    </xf>
    <xf numFmtId="0" fontId="4" fillId="0" borderId="0" xfId="6" applyFont="1" applyFill="1"/>
    <xf numFmtId="0" fontId="5" fillId="0" borderId="2" xfId="6" applyFont="1" applyFill="1" applyBorder="1" applyAlignment="1">
      <alignment horizontal="right"/>
    </xf>
    <xf numFmtId="0" fontId="6" fillId="0" borderId="0" xfId="6" applyFont="1" applyFill="1" applyBorder="1"/>
    <xf numFmtId="0" fontId="4" fillId="0" borderId="10" xfId="6" applyFont="1" applyFill="1" applyBorder="1" applyAlignment="1">
      <alignment horizontal="center" vertical="center" wrapText="1"/>
    </xf>
    <xf numFmtId="41" fontId="7" fillId="0" borderId="0" xfId="6" applyNumberFormat="1" applyFont="1" applyFill="1" applyAlignment="1">
      <alignment horizontal="center" vertical="center"/>
    </xf>
    <xf numFmtId="0" fontId="4" fillId="0" borderId="0" xfId="6" applyFont="1" applyFill="1" applyAlignment="1">
      <alignment vertical="center"/>
    </xf>
    <xf numFmtId="0" fontId="4" fillId="0" borderId="8" xfId="6" applyFont="1" applyFill="1" applyBorder="1" applyAlignment="1">
      <alignment horizontal="left" vertical="center" wrapText="1"/>
    </xf>
    <xf numFmtId="0" fontId="4" fillId="0" borderId="0" xfId="6" applyFont="1" applyFill="1" applyBorder="1" applyAlignment="1">
      <alignment vertical="center"/>
    </xf>
    <xf numFmtId="0" fontId="66" fillId="0" borderId="0" xfId="6" applyFont="1" applyFill="1"/>
    <xf numFmtId="41" fontId="4" fillId="0" borderId="0" xfId="6" applyNumberFormat="1" applyFont="1" applyFill="1"/>
    <xf numFmtId="0" fontId="8" fillId="0" borderId="0" xfId="6" applyFont="1" applyFill="1"/>
    <xf numFmtId="0" fontId="10" fillId="0" borderId="8" xfId="6" applyFont="1" applyFill="1" applyBorder="1" applyAlignment="1">
      <alignment horizontal="left" vertical="center" wrapText="1"/>
    </xf>
    <xf numFmtId="0" fontId="5" fillId="0" borderId="0" xfId="6" applyFont="1" applyFill="1"/>
    <xf numFmtId="0" fontId="4" fillId="0" borderId="4" xfId="6" applyFont="1" applyFill="1" applyBorder="1" applyAlignment="1">
      <alignment horizontal="center" vertical="center"/>
    </xf>
    <xf numFmtId="0" fontId="4" fillId="0" borderId="11" xfId="6" applyFont="1" applyFill="1" applyBorder="1" applyAlignment="1">
      <alignment horizontal="center" vertical="center"/>
    </xf>
    <xf numFmtId="0" fontId="10" fillId="0" borderId="1" xfId="6" applyFont="1" applyFill="1" applyBorder="1" applyAlignment="1">
      <alignment horizontal="center" vertical="center"/>
    </xf>
    <xf numFmtId="41" fontId="4" fillId="0" borderId="0" xfId="6" applyNumberFormat="1" applyFont="1" applyFill="1" applyAlignment="1">
      <alignment vertical="center"/>
    </xf>
    <xf numFmtId="0" fontId="10" fillId="0" borderId="8" xfId="6" applyFont="1" applyFill="1" applyBorder="1" applyAlignment="1">
      <alignment horizontal="center" vertical="center" wrapText="1"/>
    </xf>
    <xf numFmtId="0" fontId="7" fillId="0" borderId="2" xfId="4" applyFont="1" applyFill="1" applyBorder="1"/>
    <xf numFmtId="49" fontId="4" fillId="0" borderId="4" xfId="6" applyNumberFormat="1" applyFont="1" applyFill="1" applyBorder="1" applyAlignment="1">
      <alignment horizontal="center" vertical="center"/>
    </xf>
    <xf numFmtId="49" fontId="4" fillId="0" borderId="4" xfId="6" applyNumberFormat="1" applyFont="1" applyFill="1" applyBorder="1" applyAlignment="1">
      <alignment horizontal="center" vertical="center" wrapText="1"/>
    </xf>
    <xf numFmtId="49" fontId="4" fillId="0" borderId="11" xfId="6" applyNumberFormat="1" applyFont="1" applyFill="1" applyBorder="1" applyAlignment="1">
      <alignment horizontal="center" vertical="center"/>
    </xf>
    <xf numFmtId="49" fontId="4" fillId="0" borderId="5" xfId="6" applyNumberFormat="1" applyFont="1" applyFill="1" applyBorder="1" applyAlignment="1">
      <alignment horizontal="center" vertical="center" wrapText="1"/>
    </xf>
    <xf numFmtId="0" fontId="67" fillId="0" borderId="0" xfId="0" applyFont="1" applyAlignment="1" applyProtection="1">
      <protection locked="0"/>
    </xf>
    <xf numFmtId="0" fontId="26" fillId="0" borderId="0" xfId="0" applyFont="1" applyAlignment="1" applyProtection="1">
      <alignment horizontal="right"/>
      <protection locked="0"/>
    </xf>
    <xf numFmtId="0" fontId="26" fillId="0" borderId="0" xfId="0" applyFont="1" applyAlignment="1" applyProtection="1">
      <protection locked="0"/>
    </xf>
    <xf numFmtId="0" fontId="68" fillId="0" borderId="0" xfId="0" applyFont="1" applyAlignment="1" applyProtection="1">
      <protection locked="0"/>
    </xf>
    <xf numFmtId="0" fontId="67" fillId="0" borderId="0" xfId="0" applyFont="1" applyProtection="1">
      <protection locked="0"/>
    </xf>
    <xf numFmtId="41" fontId="9" fillId="0" borderId="7" xfId="3" applyNumberFormat="1" applyFont="1" applyFill="1" applyBorder="1" applyAlignment="1">
      <alignment vertical="center"/>
    </xf>
    <xf numFmtId="41" fontId="9" fillId="0" borderId="2" xfId="3" applyNumberFormat="1" applyFont="1" applyFill="1" applyBorder="1" applyAlignment="1">
      <alignment vertical="center"/>
    </xf>
    <xf numFmtId="0" fontId="2" fillId="0" borderId="0" xfId="6" applyFont="1" applyAlignment="1">
      <alignment horizontal="center"/>
    </xf>
    <xf numFmtId="0" fontId="4" fillId="0" borderId="0" xfId="6" applyFont="1" applyAlignment="1">
      <alignment horizontal="center"/>
    </xf>
    <xf numFmtId="0" fontId="10" fillId="0" borderId="5" xfId="6" applyFont="1" applyBorder="1" applyAlignment="1">
      <alignment horizontal="center" vertical="center"/>
    </xf>
    <xf numFmtId="0" fontId="10" fillId="0" borderId="10" xfId="6" applyFont="1" applyBorder="1" applyAlignment="1">
      <alignment horizontal="center" vertical="center"/>
    </xf>
    <xf numFmtId="0" fontId="10" fillId="0" borderId="11" xfId="6" applyFont="1" applyBorder="1" applyAlignment="1">
      <alignment horizontal="center" vertical="center"/>
    </xf>
    <xf numFmtId="0" fontId="10" fillId="0" borderId="5" xfId="6" applyFont="1" applyBorder="1" applyAlignment="1">
      <alignment horizontal="center" vertical="center" wrapText="1"/>
    </xf>
    <xf numFmtId="0" fontId="10" fillId="0" borderId="10" xfId="6" applyFont="1" applyBorder="1" applyAlignment="1">
      <alignment horizontal="center" vertical="center" wrapText="1"/>
    </xf>
    <xf numFmtId="0" fontId="10" fillId="0" borderId="11" xfId="6" applyFont="1" applyBorder="1" applyAlignment="1">
      <alignment horizontal="center" vertical="center" wrapText="1"/>
    </xf>
    <xf numFmtId="0" fontId="5" fillId="0" borderId="0" xfId="6" applyFont="1" applyAlignment="1">
      <alignment horizontal="distributed" vertical="center"/>
    </xf>
    <xf numFmtId="0" fontId="2" fillId="0" borderId="0" xfId="6" applyFont="1" applyAlignment="1">
      <alignment horizontal="right"/>
    </xf>
    <xf numFmtId="0" fontId="4" fillId="0" borderId="2" xfId="6" applyFont="1" applyBorder="1" applyAlignment="1">
      <alignment horizontal="right"/>
    </xf>
    <xf numFmtId="0" fontId="10" fillId="0" borderId="1" xfId="6" applyFont="1" applyBorder="1" applyAlignment="1">
      <alignment horizontal="center" vertical="center"/>
    </xf>
    <xf numFmtId="0" fontId="10" fillId="0" borderId="9" xfId="6" applyFont="1" applyBorder="1" applyAlignment="1">
      <alignment horizontal="center" vertical="center"/>
    </xf>
    <xf numFmtId="41" fontId="9" fillId="0" borderId="10" xfId="6" applyNumberFormat="1" applyFont="1" applyBorder="1" applyAlignment="1">
      <alignment horizontal="center" vertical="center"/>
    </xf>
    <xf numFmtId="0" fontId="4" fillId="0" borderId="2" xfId="6" applyFont="1" applyBorder="1" applyAlignment="1">
      <alignment horizontal="left"/>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5" fillId="0" borderId="0" xfId="6" applyFont="1" applyBorder="1" applyAlignment="1">
      <alignment vertical="center" wrapText="1"/>
    </xf>
    <xf numFmtId="0" fontId="7" fillId="0" borderId="0" xfId="2" applyBorder="1" applyAlignment="1">
      <alignment vertical="center"/>
    </xf>
    <xf numFmtId="0" fontId="4" fillId="0" borderId="2" xfId="6" applyFont="1" applyBorder="1" applyAlignment="1"/>
    <xf numFmtId="0" fontId="5" fillId="0" borderId="1" xfId="6" applyFont="1" applyBorder="1" applyAlignment="1">
      <alignment horizontal="center" vertical="center"/>
    </xf>
    <xf numFmtId="0" fontId="5" fillId="0" borderId="9" xfId="6" applyFont="1" applyBorder="1" applyAlignment="1">
      <alignment horizontal="center" vertical="center"/>
    </xf>
    <xf numFmtId="0" fontId="5" fillId="0" borderId="9" xfId="6" applyFont="1" applyBorder="1" applyAlignment="1">
      <alignment horizontal="center" vertical="center" wrapText="1"/>
    </xf>
    <xf numFmtId="0" fontId="5" fillId="0" borderId="11" xfId="6" applyFont="1" applyBorder="1" applyAlignment="1">
      <alignment horizontal="center" vertical="center" wrapText="1"/>
    </xf>
    <xf numFmtId="0" fontId="5" fillId="0" borderId="7" xfId="6" applyFont="1" applyBorder="1" applyAlignment="1">
      <alignment horizontal="center" vertical="center"/>
    </xf>
    <xf numFmtId="0" fontId="5" fillId="0" borderId="2" xfId="6" applyFont="1" applyBorder="1" applyAlignment="1">
      <alignment horizontal="center" vertical="center"/>
    </xf>
    <xf numFmtId="0" fontId="5" fillId="0" borderId="10" xfId="6" applyFont="1" applyBorder="1" applyAlignment="1">
      <alignment horizontal="center" vertical="center"/>
    </xf>
    <xf numFmtId="0" fontId="7" fillId="0" borderId="2" xfId="2" applyBorder="1" applyAlignment="1"/>
    <xf numFmtId="0" fontId="4" fillId="0" borderId="1" xfId="6" applyFont="1" applyBorder="1" applyAlignment="1">
      <alignment horizontal="center" vertical="center"/>
    </xf>
    <xf numFmtId="0" fontId="4" fillId="0" borderId="9" xfId="6" applyFont="1" applyBorder="1" applyAlignment="1">
      <alignment horizontal="center" vertical="center"/>
    </xf>
    <xf numFmtId="0" fontId="4" fillId="0" borderId="9" xfId="6" applyFont="1" applyBorder="1" applyAlignment="1">
      <alignment horizontal="center" vertical="center" wrapText="1"/>
    </xf>
    <xf numFmtId="0" fontId="4" fillId="0" borderId="11" xfId="6" applyFont="1" applyBorder="1" applyAlignment="1">
      <alignment horizontal="center" vertical="center" wrapText="1"/>
    </xf>
    <xf numFmtId="0" fontId="4" fillId="0" borderId="5" xfId="6" applyFont="1" applyBorder="1" applyAlignment="1">
      <alignment horizontal="center" vertical="center"/>
    </xf>
    <xf numFmtId="0" fontId="2" fillId="0" borderId="0" xfId="6" applyFont="1" applyAlignment="1">
      <alignment horizontal="left"/>
    </xf>
    <xf numFmtId="0" fontId="4" fillId="0" borderId="2" xfId="1" applyFont="1" applyBorder="1" applyAlignment="1">
      <alignment horizontal="left"/>
    </xf>
    <xf numFmtId="0" fontId="5" fillId="0" borderId="0" xfId="6" applyFont="1" applyFill="1" applyBorder="1" applyAlignment="1">
      <alignment vertical="center" wrapText="1"/>
    </xf>
    <xf numFmtId="0" fontId="7" fillId="0" borderId="3" xfId="1" applyFont="1" applyFill="1" applyBorder="1" applyAlignment="1">
      <alignment vertical="center"/>
    </xf>
    <xf numFmtId="0" fontId="4" fillId="0" borderId="13" xfId="6" applyFont="1" applyBorder="1" applyAlignment="1">
      <alignment horizontal="center" vertical="center" wrapText="1"/>
    </xf>
    <xf numFmtId="0" fontId="7" fillId="0" borderId="14" xfId="1" applyBorder="1" applyAlignment="1">
      <alignment horizontal="center" vertical="center"/>
    </xf>
    <xf numFmtId="0" fontId="4" fillId="0" borderId="13" xfId="6" applyFont="1" applyBorder="1" applyAlignment="1">
      <alignment horizontal="center" vertical="center"/>
    </xf>
    <xf numFmtId="0" fontId="6" fillId="0" borderId="14" xfId="6" applyFont="1" applyBorder="1" applyAlignment="1">
      <alignment horizontal="center" vertical="center"/>
    </xf>
    <xf numFmtId="0" fontId="10" fillId="0" borderId="13" xfId="6" applyFont="1" applyBorder="1" applyAlignment="1">
      <alignment horizontal="center" vertical="center" wrapText="1"/>
    </xf>
    <xf numFmtId="0" fontId="4" fillId="0" borderId="12" xfId="6" applyFont="1" applyBorder="1" applyAlignment="1">
      <alignment horizontal="center" vertical="center"/>
    </xf>
    <xf numFmtId="0" fontId="4" fillId="0" borderId="7" xfId="6" applyFont="1" applyBorder="1" applyAlignment="1">
      <alignment horizontal="center" vertical="center"/>
    </xf>
    <xf numFmtId="0" fontId="4" fillId="0" borderId="10" xfId="6" applyFont="1" applyBorder="1" applyAlignment="1">
      <alignment horizontal="center" vertical="center"/>
    </xf>
    <xf numFmtId="0" fontId="4" fillId="0" borderId="10" xfId="6" applyFont="1" applyBorder="1" applyAlignment="1">
      <alignment horizontal="center" vertical="center" wrapText="1"/>
    </xf>
    <xf numFmtId="0" fontId="7" fillId="0" borderId="10" xfId="1" applyBorder="1" applyAlignment="1">
      <alignment horizontal="center" vertical="center"/>
    </xf>
    <xf numFmtId="0" fontId="7" fillId="0" borderId="11" xfId="1" applyBorder="1" applyAlignment="1">
      <alignment horizontal="center" vertical="center"/>
    </xf>
    <xf numFmtId="0" fontId="7" fillId="0" borderId="10" xfId="2" applyBorder="1" applyAlignment="1">
      <alignment horizontal="center" vertical="center"/>
    </xf>
    <xf numFmtId="0" fontId="7" fillId="0" borderId="11" xfId="2" applyBorder="1" applyAlignment="1">
      <alignment horizontal="center" vertical="center"/>
    </xf>
    <xf numFmtId="0" fontId="4" fillId="0" borderId="2" xfId="2" applyFont="1" applyBorder="1" applyAlignment="1">
      <alignment horizontal="left"/>
    </xf>
    <xf numFmtId="0" fontId="5" fillId="0" borderId="3" xfId="6" applyFont="1" applyBorder="1" applyAlignment="1">
      <alignment horizontal="left" vertical="center" wrapText="1"/>
    </xf>
    <xf numFmtId="0" fontId="7" fillId="0" borderId="14" xfId="2" applyBorder="1" applyAlignment="1">
      <alignment horizontal="center" vertical="center"/>
    </xf>
    <xf numFmtId="0" fontId="5" fillId="0" borderId="3" xfId="6" applyFont="1" applyBorder="1" applyAlignment="1">
      <alignment vertical="center"/>
    </xf>
    <xf numFmtId="0" fontId="7" fillId="0" borderId="3" xfId="2" applyBorder="1" applyAlignment="1">
      <alignment vertical="center"/>
    </xf>
    <xf numFmtId="0" fontId="4" fillId="0" borderId="3" xfId="6" applyFont="1" applyBorder="1" applyAlignment="1">
      <alignment horizontal="center" vertical="center"/>
    </xf>
    <xf numFmtId="0" fontId="10" fillId="0" borderId="12" xfId="6" applyFont="1" applyBorder="1" applyAlignment="1">
      <alignment horizontal="center" vertical="center" wrapText="1"/>
    </xf>
    <xf numFmtId="0" fontId="7" fillId="0" borderId="7" xfId="2" applyBorder="1" applyAlignment="1">
      <alignment horizontal="center" vertical="center"/>
    </xf>
    <xf numFmtId="0" fontId="5" fillId="0" borderId="3" xfId="6" applyFont="1" applyFill="1" applyBorder="1" applyAlignment="1">
      <alignment horizontal="left" vertical="center" wrapText="1"/>
    </xf>
    <xf numFmtId="0" fontId="4" fillId="0" borderId="13" xfId="6" applyFont="1" applyFill="1" applyBorder="1" applyAlignment="1">
      <alignment horizontal="center" vertical="center"/>
    </xf>
    <xf numFmtId="0" fontId="6" fillId="0" borderId="14" xfId="6" applyFont="1" applyFill="1" applyBorder="1" applyAlignment="1">
      <alignment horizontal="center" vertical="center"/>
    </xf>
    <xf numFmtId="0" fontId="4" fillId="0" borderId="13" xfId="6" applyFont="1" applyFill="1" applyBorder="1" applyAlignment="1">
      <alignment horizontal="center" vertical="center" wrapText="1"/>
    </xf>
    <xf numFmtId="0" fontId="7" fillId="0" borderId="14" xfId="2" applyFont="1" applyFill="1" applyBorder="1" applyAlignment="1">
      <alignment horizontal="center" vertical="center"/>
    </xf>
    <xf numFmtId="0" fontId="10" fillId="0" borderId="13" xfId="6" applyFont="1" applyFill="1" applyBorder="1" applyAlignment="1">
      <alignment horizontal="center" vertical="center" wrapText="1"/>
    </xf>
    <xf numFmtId="0" fontId="4" fillId="0" borderId="12"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1" xfId="6" applyFont="1" applyFill="1" applyBorder="1" applyAlignment="1">
      <alignment horizontal="center" vertical="center"/>
    </xf>
    <xf numFmtId="0" fontId="2" fillId="0" borderId="0" xfId="6" applyFont="1" applyFill="1" applyAlignment="1">
      <alignment horizontal="right"/>
    </xf>
    <xf numFmtId="0" fontId="2" fillId="0" borderId="0" xfId="6" applyFont="1" applyFill="1" applyAlignment="1">
      <alignment horizontal="left"/>
    </xf>
    <xf numFmtId="0" fontId="4" fillId="0" borderId="2" xfId="6" applyFont="1" applyFill="1" applyBorder="1" applyAlignment="1">
      <alignment horizontal="right"/>
    </xf>
    <xf numFmtId="0" fontId="4" fillId="0" borderId="2" xfId="2" applyFont="1" applyFill="1" applyBorder="1" applyAlignment="1">
      <alignment horizontal="left"/>
    </xf>
    <xf numFmtId="0" fontId="4" fillId="0" borderId="11" xfId="6" applyFont="1" applyFill="1" applyBorder="1" applyAlignment="1">
      <alignment horizontal="center" vertical="center" wrapText="1"/>
    </xf>
    <xf numFmtId="0" fontId="4" fillId="0" borderId="4" xfId="6" applyFont="1" applyFill="1" applyBorder="1" applyAlignment="1">
      <alignment horizontal="center" vertical="center"/>
    </xf>
    <xf numFmtId="0" fontId="4" fillId="0" borderId="4"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4" fillId="0" borderId="5" xfId="6" applyFont="1" applyFill="1" applyBorder="1" applyAlignment="1">
      <alignment horizontal="center" vertical="center"/>
    </xf>
    <xf numFmtId="0" fontId="10" fillId="0" borderId="4" xfId="6" applyFont="1" applyBorder="1" applyAlignment="1">
      <alignment horizontal="center" vertical="center" wrapText="1"/>
    </xf>
    <xf numFmtId="0" fontId="10" fillId="0" borderId="4" xfId="6" applyFont="1" applyBorder="1" applyAlignment="1">
      <alignment horizontal="center" vertical="center"/>
    </xf>
    <xf numFmtId="0" fontId="5" fillId="0" borderId="0" xfId="6" applyFont="1" applyFill="1" applyAlignment="1">
      <alignment vertical="center" wrapText="1"/>
    </xf>
    <xf numFmtId="0" fontId="7" fillId="0" borderId="0" xfId="2" applyFont="1" applyFill="1" applyAlignment="1">
      <alignment vertical="center"/>
    </xf>
    <xf numFmtId="0" fontId="4" fillId="0" borderId="0" xfId="6" applyFont="1" applyBorder="1" applyAlignment="1">
      <alignment horizontal="left"/>
    </xf>
    <xf numFmtId="0" fontId="5" fillId="0" borderId="8" xfId="6" applyFont="1" applyBorder="1" applyAlignment="1">
      <alignment horizontal="center" vertical="center"/>
    </xf>
    <xf numFmtId="0" fontId="5" fillId="0" borderId="13" xfId="6" applyFont="1" applyBorder="1" applyAlignment="1">
      <alignment horizontal="center" vertical="center" wrapText="1"/>
    </xf>
    <xf numFmtId="0" fontId="9" fillId="0" borderId="14" xfId="2" applyFont="1" applyBorder="1" applyAlignment="1">
      <alignment horizontal="center" vertical="center" wrapText="1"/>
    </xf>
    <xf numFmtId="0" fontId="5" fillId="0" borderId="5" xfId="6" applyFont="1" applyBorder="1" applyAlignment="1">
      <alignment horizontal="center" vertical="center"/>
    </xf>
    <xf numFmtId="0" fontId="4" fillId="0" borderId="8" xfId="6" applyFont="1" applyBorder="1" applyAlignment="1">
      <alignment horizontal="center" vertical="center"/>
    </xf>
    <xf numFmtId="0" fontId="7" fillId="0" borderId="14" xfId="2" applyBorder="1" applyAlignment="1">
      <alignment horizontal="center" vertical="center" wrapText="1"/>
    </xf>
    <xf numFmtId="0" fontId="5" fillId="0" borderId="0" xfId="6" applyFont="1" applyAlignment="1">
      <alignment vertical="center" wrapText="1"/>
    </xf>
    <xf numFmtId="0" fontId="4" fillId="0" borderId="12" xfId="6" applyFont="1" applyBorder="1" applyAlignment="1">
      <alignment horizontal="center" vertical="center" wrapText="1"/>
    </xf>
    <xf numFmtId="0" fontId="4" fillId="0" borderId="3" xfId="6" applyFont="1" applyBorder="1" applyAlignment="1">
      <alignment horizontal="center" vertical="center" wrapText="1"/>
    </xf>
    <xf numFmtId="0" fontId="7" fillId="0" borderId="3" xfId="2" applyBorder="1" applyAlignment="1">
      <alignment horizontal="center" vertical="center" wrapText="1"/>
    </xf>
    <xf numFmtId="0" fontId="7" fillId="0" borderId="1" xfId="2" applyBorder="1" applyAlignment="1">
      <alignment horizontal="center" vertical="center" wrapText="1"/>
    </xf>
    <xf numFmtId="0" fontId="4" fillId="0" borderId="5" xfId="6" applyFont="1" applyBorder="1" applyAlignment="1">
      <alignment horizontal="right" vertical="center"/>
    </xf>
    <xf numFmtId="0" fontId="0" fillId="0" borderId="10" xfId="0" applyBorder="1"/>
    <xf numFmtId="0" fontId="2" fillId="0" borderId="0" xfId="6" applyFont="1" applyFill="1" applyAlignment="1">
      <alignment horizontal="left" vertical="top"/>
    </xf>
    <xf numFmtId="0" fontId="4" fillId="0" borderId="2" xfId="6" applyFont="1" applyFill="1" applyBorder="1" applyAlignment="1">
      <alignment horizontal="left"/>
    </xf>
    <xf numFmtId="0" fontId="5" fillId="0" borderId="2" xfId="6" applyFont="1" applyFill="1" applyBorder="1" applyAlignment="1">
      <alignment horizontal="right"/>
    </xf>
    <xf numFmtId="49" fontId="4" fillId="0" borderId="5" xfId="6" applyNumberFormat="1" applyFont="1" applyFill="1" applyBorder="1" applyAlignment="1">
      <alignment horizontal="center" vertical="center"/>
    </xf>
    <xf numFmtId="49" fontId="4" fillId="0" borderId="10" xfId="6" applyNumberFormat="1" applyFont="1" applyFill="1" applyBorder="1" applyAlignment="1">
      <alignment horizontal="center" vertical="center"/>
    </xf>
    <xf numFmtId="0" fontId="4" fillId="0" borderId="2" xfId="6" applyFont="1" applyBorder="1" applyAlignment="1">
      <alignment horizontal="center"/>
    </xf>
    <xf numFmtId="0" fontId="5" fillId="0" borderId="2" xfId="6" applyFont="1" applyBorder="1" applyAlignment="1">
      <alignment horizontal="right"/>
    </xf>
    <xf numFmtId="0" fontId="2" fillId="0" borderId="0" xfId="6" applyFont="1" applyAlignment="1">
      <alignment horizontal="left" vertical="top"/>
    </xf>
    <xf numFmtId="0" fontId="2" fillId="0" borderId="0" xfId="6" applyFont="1" applyAlignment="1">
      <alignment horizontal="left" vertical="center"/>
    </xf>
    <xf numFmtId="0" fontId="7" fillId="0" borderId="2" xfId="6" applyFont="1" applyBorder="1" applyAlignment="1">
      <alignment horizontal="left"/>
    </xf>
    <xf numFmtId="0" fontId="4" fillId="0" borderId="14" xfId="6" applyFont="1" applyBorder="1" applyAlignment="1">
      <alignment horizontal="center" vertical="center"/>
    </xf>
    <xf numFmtId="0" fontId="4" fillId="0" borderId="14" xfId="6" applyFont="1" applyBorder="1" applyAlignment="1">
      <alignment horizontal="center" vertical="center" wrapText="1"/>
    </xf>
    <xf numFmtId="0" fontId="7" fillId="0" borderId="10" xfId="2" applyBorder="1"/>
    <xf numFmtId="0" fontId="2" fillId="0" borderId="0" xfId="6" applyFont="1" applyFill="1" applyAlignment="1">
      <alignment horizontal="center" vertical="center"/>
    </xf>
    <xf numFmtId="0" fontId="5" fillId="0" borderId="3" xfId="4" applyFont="1" applyBorder="1" applyAlignment="1">
      <alignment horizontal="left" vertical="center" wrapText="1"/>
    </xf>
    <xf numFmtId="0" fontId="5" fillId="0" borderId="0" xfId="4" applyFont="1" applyAlignment="1">
      <alignment horizontal="left" vertical="top" wrapText="1"/>
    </xf>
    <xf numFmtId="0" fontId="2" fillId="0" borderId="0" xfId="6" applyFont="1" applyFill="1" applyAlignment="1">
      <alignment horizontal="left" vertical="center"/>
    </xf>
    <xf numFmtId="49" fontId="4" fillId="0" borderId="2" xfId="6" applyNumberFormat="1" applyFont="1" applyBorder="1" applyAlignment="1">
      <alignment horizontal="right"/>
    </xf>
    <xf numFmtId="0" fontId="10" fillId="0" borderId="4" xfId="3" applyFont="1" applyFill="1" applyBorder="1" applyAlignment="1">
      <alignment horizontal="center" vertical="center"/>
    </xf>
    <xf numFmtId="0" fontId="10" fillId="0" borderId="5" xfId="3" applyFont="1" applyFill="1" applyBorder="1" applyAlignment="1">
      <alignment horizontal="center" vertical="center"/>
    </xf>
    <xf numFmtId="0" fontId="2" fillId="0" borderId="0" xfId="6" applyFont="1" applyFill="1" applyAlignment="1">
      <alignment horizontal="right" vertical="center"/>
    </xf>
    <xf numFmtId="0" fontId="4" fillId="0" borderId="2" xfId="3" applyFont="1" applyFill="1" applyBorder="1" applyAlignment="1">
      <alignment horizontal="right"/>
    </xf>
    <xf numFmtId="0" fontId="4" fillId="0" borderId="2" xfId="3" applyFont="1" applyFill="1" applyBorder="1" applyAlignment="1">
      <alignment horizontal="left"/>
    </xf>
    <xf numFmtId="0" fontId="5" fillId="0" borderId="2" xfId="3" applyFont="1" applyFill="1" applyBorder="1" applyAlignment="1">
      <alignment horizontal="right"/>
    </xf>
    <xf numFmtId="0" fontId="5" fillId="0" borderId="3" xfId="3" applyFont="1" applyFill="1" applyBorder="1" applyAlignment="1">
      <alignment horizontal="left" vertical="center" wrapText="1"/>
    </xf>
    <xf numFmtId="0" fontId="10" fillId="0" borderId="1"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13"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11" xfId="3" applyFont="1" applyFill="1" applyBorder="1" applyAlignment="1">
      <alignment horizontal="center" vertical="center"/>
    </xf>
    <xf numFmtId="0" fontId="12" fillId="0" borderId="14" xfId="5" applyFont="1" applyFill="1" applyBorder="1" applyAlignment="1"/>
    <xf numFmtId="0" fontId="5" fillId="0" borderId="0" xfId="3" applyFont="1" applyFill="1" applyAlignment="1">
      <alignment horizontal="left" vertical="top" wrapText="1"/>
    </xf>
    <xf numFmtId="0" fontId="26" fillId="0" borderId="0" xfId="6" applyFont="1" applyFill="1" applyAlignment="1">
      <alignment horizontal="right" vertical="center"/>
    </xf>
    <xf numFmtId="0" fontId="5" fillId="0" borderId="1" xfId="3" applyFont="1" applyFill="1" applyBorder="1" applyAlignment="1">
      <alignment horizontal="center" vertical="center"/>
    </xf>
    <xf numFmtId="0" fontId="5" fillId="0" borderId="9" xfId="3" applyFont="1" applyFill="1" applyBorder="1" applyAlignment="1">
      <alignment horizontal="center" vertical="center"/>
    </xf>
    <xf numFmtId="49" fontId="5" fillId="0" borderId="13" xfId="3" applyNumberFormat="1" applyFont="1" applyFill="1" applyBorder="1" applyAlignment="1">
      <alignment horizontal="center" vertical="center"/>
    </xf>
    <xf numFmtId="49" fontId="5" fillId="0" borderId="14" xfId="3" applyNumberFormat="1" applyFont="1" applyFill="1" applyBorder="1" applyAlignment="1">
      <alignment horizontal="center" vertical="center"/>
    </xf>
    <xf numFmtId="0" fontId="5" fillId="0" borderId="5"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0" xfId="3" applyFont="1" applyFill="1" applyAlignment="1">
      <alignment horizontal="left" vertical="center" wrapText="1"/>
    </xf>
    <xf numFmtId="0" fontId="4" fillId="0" borderId="1"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1" xfId="3" applyFont="1" applyFill="1" applyBorder="1" applyAlignment="1">
      <alignment horizontal="center" vertical="center"/>
    </xf>
    <xf numFmtId="0" fontId="7" fillId="0" borderId="14" xfId="5" applyFont="1" applyFill="1" applyBorder="1"/>
    <xf numFmtId="0" fontId="4" fillId="0" borderId="4" xfId="3" applyFont="1" applyFill="1" applyBorder="1" applyAlignment="1">
      <alignment horizontal="center" vertical="center"/>
    </xf>
    <xf numFmtId="0" fontId="12" fillId="0" borderId="14" xfId="5" applyFont="1" applyFill="1" applyBorder="1"/>
    <xf numFmtId="0" fontId="4" fillId="0" borderId="3" xfId="3" applyFont="1" applyFill="1" applyBorder="1" applyAlignment="1">
      <alignment horizontal="center" vertical="center"/>
    </xf>
    <xf numFmtId="0" fontId="2" fillId="0" borderId="0" xfId="6" applyFont="1" applyAlignment="1">
      <alignment horizontal="center" vertical="center"/>
    </xf>
    <xf numFmtId="0" fontId="5" fillId="0" borderId="3" xfId="4" applyFont="1" applyFill="1" applyBorder="1" applyAlignment="1">
      <alignment horizontal="left" vertical="top" wrapText="1"/>
    </xf>
    <xf numFmtId="0" fontId="31" fillId="0" borderId="0" xfId="0" applyFont="1" applyFill="1" applyAlignment="1">
      <alignment wrapText="1"/>
    </xf>
    <xf numFmtId="0" fontId="7" fillId="0" borderId="0" xfId="0" applyFont="1" applyFill="1"/>
    <xf numFmtId="0" fontId="29" fillId="0" borderId="0" xfId="0" applyFont="1" applyFill="1" applyAlignment="1">
      <alignment wrapText="1"/>
    </xf>
    <xf numFmtId="0" fontId="1" fillId="0" borderId="0" xfId="0" applyFont="1" applyFill="1"/>
    <xf numFmtId="181" fontId="31" fillId="0" borderId="5" xfId="0" applyNumberFormat="1" applyFont="1" applyFill="1" applyBorder="1" applyAlignment="1">
      <alignment horizontal="right" vertical="center" wrapText="1"/>
    </xf>
    <xf numFmtId="181" fontId="31" fillId="0" borderId="10" xfId="0" applyNumberFormat="1" applyFont="1" applyFill="1" applyBorder="1" applyAlignment="1">
      <alignment horizontal="right" vertical="center" wrapText="1"/>
    </xf>
    <xf numFmtId="181" fontId="31" fillId="0" borderId="72" xfId="0" applyNumberFormat="1" applyFont="1" applyFill="1" applyBorder="1" applyAlignment="1">
      <alignment horizontal="right" vertical="center" wrapText="1"/>
    </xf>
    <xf numFmtId="181" fontId="31" fillId="0" borderId="54" xfId="0" applyNumberFormat="1" applyFont="1" applyFill="1" applyBorder="1" applyAlignment="1">
      <alignment horizontal="right" vertical="center" wrapText="1"/>
    </xf>
    <xf numFmtId="0" fontId="31" fillId="0" borderId="73" xfId="0" applyFont="1" applyFill="1" applyBorder="1" applyAlignment="1">
      <alignment horizontal="center" vertical="center"/>
    </xf>
    <xf numFmtId="0" fontId="31" fillId="0" borderId="74" xfId="0" applyFont="1" applyFill="1" applyBorder="1" applyAlignment="1">
      <alignment horizontal="center" vertical="center"/>
    </xf>
    <xf numFmtId="0" fontId="29" fillId="0" borderId="75"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76" xfId="0" applyFont="1" applyFill="1" applyBorder="1" applyAlignment="1">
      <alignment horizontal="center" vertical="center" wrapText="1"/>
    </xf>
    <xf numFmtId="181" fontId="31" fillId="0" borderId="22" xfId="0" applyNumberFormat="1" applyFont="1" applyFill="1" applyBorder="1" applyAlignment="1">
      <alignment horizontal="center" vertical="center"/>
    </xf>
    <xf numFmtId="181" fontId="31" fillId="0" borderId="23" xfId="0" applyNumberFormat="1" applyFont="1" applyFill="1" applyBorder="1" applyAlignment="1">
      <alignment horizontal="center" vertical="center"/>
    </xf>
    <xf numFmtId="181" fontId="31" fillId="0" borderId="71" xfId="0" applyNumberFormat="1" applyFont="1" applyFill="1" applyBorder="1" applyAlignment="1">
      <alignment horizontal="center" vertical="center"/>
    </xf>
    <xf numFmtId="181" fontId="31" fillId="0" borderId="47" xfId="0" applyNumberFormat="1" applyFont="1" applyFill="1" applyBorder="1" applyAlignment="1">
      <alignment horizontal="center" vertical="center"/>
    </xf>
    <xf numFmtId="182" fontId="31" fillId="0" borderId="25" xfId="0" applyNumberFormat="1" applyFont="1" applyFill="1" applyBorder="1" applyAlignment="1">
      <alignment horizontal="center" vertical="center"/>
    </xf>
    <xf numFmtId="0" fontId="1" fillId="0" borderId="34" xfId="0" applyFont="1" applyFill="1" applyBorder="1" applyAlignment="1">
      <alignment horizontal="center" vertical="center"/>
    </xf>
    <xf numFmtId="181" fontId="31" fillId="0" borderId="7" xfId="0" applyNumberFormat="1" applyFont="1" applyFill="1" applyBorder="1" applyAlignment="1">
      <alignment horizontal="right" vertical="center" wrapText="1"/>
    </xf>
    <xf numFmtId="181" fontId="31" fillId="0" borderId="2" xfId="0" applyNumberFormat="1" applyFont="1" applyFill="1" applyBorder="1" applyAlignment="1">
      <alignment horizontal="right" vertical="center" wrapText="1"/>
    </xf>
    <xf numFmtId="0" fontId="31" fillId="0" borderId="1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49" xfId="0" applyFont="1" applyFill="1" applyBorder="1" applyAlignment="1">
      <alignment horizontal="center" vertical="center" wrapText="1"/>
    </xf>
    <xf numFmtId="181" fontId="31" fillId="0" borderId="63" xfId="0" applyNumberFormat="1" applyFont="1" applyFill="1" applyBorder="1" applyAlignment="1">
      <alignment horizontal="right" vertical="center" wrapText="1"/>
    </xf>
    <xf numFmtId="181" fontId="31" fillId="0" borderId="67" xfId="0" applyNumberFormat="1" applyFont="1" applyFill="1" applyBorder="1" applyAlignment="1">
      <alignment horizontal="right" vertical="center" wrapText="1"/>
    </xf>
    <xf numFmtId="181" fontId="31" fillId="0" borderId="71" xfId="0" applyNumberFormat="1" applyFont="1" applyFill="1" applyBorder="1" applyAlignment="1">
      <alignment horizontal="right" vertical="center" wrapText="1"/>
    </xf>
    <xf numFmtId="181" fontId="31" fillId="0" borderId="64" xfId="0" applyNumberFormat="1" applyFont="1" applyFill="1" applyBorder="1" applyAlignment="1">
      <alignment horizontal="right" vertical="center"/>
    </xf>
    <xf numFmtId="181" fontId="31" fillId="0" borderId="37" xfId="0" applyNumberFormat="1" applyFont="1" applyFill="1" applyBorder="1" applyAlignment="1">
      <alignment horizontal="right" vertical="center"/>
    </xf>
    <xf numFmtId="181" fontId="31" fillId="0" borderId="53" xfId="0" applyNumberFormat="1" applyFont="1" applyFill="1" applyBorder="1" applyAlignment="1">
      <alignment horizontal="right" vertical="center"/>
    </xf>
    <xf numFmtId="181" fontId="31" fillId="0" borderId="10" xfId="0" applyNumberFormat="1" applyFont="1" applyFill="1" applyBorder="1" applyAlignment="1">
      <alignment vertical="center" wrapText="1"/>
    </xf>
    <xf numFmtId="181" fontId="31" fillId="0" borderId="3" xfId="0" applyNumberFormat="1" applyFont="1" applyFill="1" applyBorder="1" applyAlignment="1">
      <alignment vertical="center" wrapText="1"/>
    </xf>
    <xf numFmtId="181" fontId="31" fillId="0" borderId="54" xfId="0" applyNumberFormat="1" applyFont="1" applyFill="1" applyBorder="1" applyAlignment="1">
      <alignment vertical="center" wrapText="1"/>
    </xf>
    <xf numFmtId="181" fontId="31" fillId="0" borderId="11" xfId="0" applyNumberFormat="1" applyFont="1" applyFill="1" applyBorder="1" applyAlignment="1">
      <alignment horizontal="left" vertical="center" wrapText="1"/>
    </xf>
    <xf numFmtId="181" fontId="31" fillId="0" borderId="1" xfId="0" applyNumberFormat="1" applyFont="1" applyFill="1" applyBorder="1" applyAlignment="1">
      <alignment horizontal="left" vertical="center" wrapText="1"/>
    </xf>
    <xf numFmtId="181" fontId="31" fillId="0" borderId="70" xfId="0" applyNumberFormat="1" applyFont="1" applyFill="1" applyBorder="1" applyAlignment="1">
      <alignment horizontal="left" vertical="center" wrapText="1"/>
    </xf>
    <xf numFmtId="180" fontId="31" fillId="0" borderId="65"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43" xfId="0" applyFont="1" applyFill="1" applyBorder="1" applyAlignment="1">
      <alignment horizontal="center" vertical="center"/>
    </xf>
    <xf numFmtId="182" fontId="31" fillId="0" borderId="65" xfId="0" applyNumberFormat="1" applyFont="1" applyFill="1" applyBorder="1" applyAlignment="1">
      <alignment horizontal="center" vertical="center"/>
    </xf>
    <xf numFmtId="181" fontId="31" fillId="0" borderId="59" xfId="0" applyNumberFormat="1" applyFont="1" applyFill="1" applyBorder="1" applyAlignment="1">
      <alignment horizontal="right" vertical="center" wrapText="1"/>
    </xf>
    <xf numFmtId="181" fontId="31" fillId="0" borderId="62" xfId="0" applyNumberFormat="1" applyFont="1" applyFill="1" applyBorder="1" applyAlignment="1">
      <alignment horizontal="right" vertical="center" wrapText="1"/>
    </xf>
    <xf numFmtId="181" fontId="31" fillId="0" borderId="42" xfId="0" applyNumberFormat="1" applyFont="1" applyFill="1" applyBorder="1" applyAlignment="1">
      <alignment horizontal="right" vertical="center"/>
    </xf>
    <xf numFmtId="181" fontId="31" fillId="0" borderId="2" xfId="0" applyNumberFormat="1" applyFont="1" applyFill="1" applyBorder="1" applyAlignment="1">
      <alignment vertical="center" wrapText="1"/>
    </xf>
    <xf numFmtId="181" fontId="31" fillId="0" borderId="9" xfId="0" applyNumberFormat="1" applyFont="1" applyFill="1" applyBorder="1" applyAlignment="1">
      <alignment horizontal="left" vertical="center" wrapText="1"/>
    </xf>
    <xf numFmtId="180" fontId="31"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textRotation="255" wrapText="1"/>
    </xf>
    <xf numFmtId="0" fontId="29" fillId="0" borderId="36" xfId="0" applyFont="1" applyFill="1" applyBorder="1" applyAlignment="1">
      <alignment horizontal="center" vertical="center" textRotation="255" wrapText="1"/>
    </xf>
    <xf numFmtId="0" fontId="29" fillId="0" borderId="43" xfId="0" applyFont="1" applyFill="1" applyBorder="1" applyAlignment="1">
      <alignment horizontal="center" vertical="center" textRotation="255" wrapText="1"/>
    </xf>
    <xf numFmtId="0" fontId="31" fillId="0" borderId="56"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0" borderId="27" xfId="0" applyFont="1" applyFill="1" applyBorder="1" applyAlignment="1">
      <alignment horizontal="left" vertical="center" wrapText="1"/>
    </xf>
    <xf numFmtId="0" fontId="31" fillId="0" borderId="0" xfId="0" applyFont="1" applyFill="1" applyAlignment="1">
      <alignment horizontal="left" vertical="center" wrapText="1"/>
    </xf>
    <xf numFmtId="0" fontId="31" fillId="0" borderId="45" xfId="0" applyFont="1" applyFill="1" applyBorder="1" applyAlignment="1">
      <alignment horizontal="left" vertical="center" wrapText="1"/>
    </xf>
    <xf numFmtId="0" fontId="31" fillId="0" borderId="58"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4" xfId="0" applyFont="1" applyFill="1" applyBorder="1" applyAlignment="1">
      <alignment horizontal="center" vertical="center" wrapText="1"/>
    </xf>
    <xf numFmtId="181" fontId="31" fillId="0" borderId="40" xfId="0" applyNumberFormat="1" applyFont="1" applyFill="1" applyBorder="1" applyAlignment="1">
      <alignment horizontal="center" vertical="center"/>
    </xf>
    <xf numFmtId="181" fontId="31" fillId="0" borderId="41" xfId="0" applyNumberFormat="1" applyFont="1" applyFill="1" applyBorder="1" applyAlignment="1">
      <alignment horizontal="center" vertical="center"/>
    </xf>
    <xf numFmtId="181" fontId="31" fillId="0" borderId="2" xfId="0" applyNumberFormat="1" applyFont="1" applyFill="1" applyBorder="1" applyAlignment="1">
      <alignment horizontal="right" vertical="center"/>
    </xf>
    <xf numFmtId="0" fontId="31" fillId="0" borderId="49" xfId="0" applyFont="1" applyFill="1" applyBorder="1" applyAlignment="1">
      <alignment horizontal="left" vertical="center" wrapText="1"/>
    </xf>
    <xf numFmtId="0" fontId="31" fillId="0" borderId="50" xfId="0" applyFont="1" applyFill="1" applyBorder="1" applyAlignment="1">
      <alignment horizontal="left" vertical="center" wrapText="1"/>
    </xf>
    <xf numFmtId="181" fontId="31" fillId="0" borderId="51" xfId="0" applyNumberFormat="1" applyFont="1" applyFill="1" applyBorder="1" applyAlignment="1">
      <alignment horizontal="center" vertical="center"/>
    </xf>
    <xf numFmtId="181" fontId="31" fillId="0" borderId="52" xfId="0" applyNumberFormat="1" applyFont="1" applyFill="1" applyBorder="1" applyAlignment="1">
      <alignment horizontal="center" vertical="center"/>
    </xf>
    <xf numFmtId="181" fontId="31" fillId="0" borderId="15" xfId="0" applyNumberFormat="1" applyFont="1" applyFill="1" applyBorder="1" applyAlignment="1">
      <alignment horizontal="right" vertical="center"/>
    </xf>
    <xf numFmtId="182" fontId="31" fillId="0" borderId="13" xfId="0" applyNumberFormat="1" applyFont="1" applyFill="1" applyBorder="1" applyAlignment="1">
      <alignment horizontal="center" vertical="center" wrapText="1"/>
    </xf>
    <xf numFmtId="182" fontId="31" fillId="0" borderId="29" xfId="0" applyNumberFormat="1" applyFont="1" applyFill="1" applyBorder="1" applyAlignment="1">
      <alignment horizontal="center" vertical="center" wrapText="1"/>
    </xf>
    <xf numFmtId="182" fontId="31" fillId="0" borderId="47" xfId="0" applyNumberFormat="1"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29" fillId="0" borderId="12"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31" fillId="0" borderId="4" xfId="0" applyFont="1" applyFill="1" applyBorder="1" applyAlignment="1">
      <alignment vertical="center" wrapText="1"/>
    </xf>
    <xf numFmtId="0" fontId="31" fillId="0" borderId="39" xfId="0" applyFont="1" applyFill="1" applyBorder="1" applyAlignment="1">
      <alignment vertical="center" wrapText="1"/>
    </xf>
    <xf numFmtId="0" fontId="29" fillId="0" borderId="7" xfId="0" applyFont="1" applyFill="1" applyBorder="1" applyAlignment="1">
      <alignment horizontal="center" vertical="center" wrapText="1"/>
    </xf>
    <xf numFmtId="181" fontId="31" fillId="0" borderId="40" xfId="0" applyNumberFormat="1" applyFont="1" applyFill="1" applyBorder="1" applyAlignment="1">
      <alignment horizontal="right" vertical="center"/>
    </xf>
    <xf numFmtId="181" fontId="31" fillId="0" borderId="10" xfId="0" applyNumberFormat="1" applyFont="1" applyFill="1" applyBorder="1" applyAlignment="1">
      <alignment horizontal="right" vertical="center"/>
    </xf>
    <xf numFmtId="180" fontId="31" fillId="0" borderId="78" xfId="0" applyNumberFormat="1" applyFont="1" applyFill="1" applyBorder="1" applyAlignment="1">
      <alignment horizontal="center" vertical="center" wrapText="1"/>
    </xf>
    <xf numFmtId="180" fontId="31" fillId="0" borderId="29" xfId="0" applyNumberFormat="1" applyFont="1" applyFill="1" applyBorder="1" applyAlignment="1">
      <alignment horizontal="center" vertical="center" wrapText="1"/>
    </xf>
    <xf numFmtId="180"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0" fontId="31" fillId="0" borderId="30" xfId="0" applyFont="1" applyFill="1" applyBorder="1" applyAlignment="1">
      <alignment horizontal="left" vertical="center" wrapText="1"/>
    </xf>
    <xf numFmtId="181" fontId="31" fillId="0" borderId="31" xfId="0" applyNumberFormat="1" applyFont="1" applyFill="1" applyBorder="1" applyAlignment="1">
      <alignment horizontal="center" vertical="center"/>
    </xf>
    <xf numFmtId="181" fontId="31" fillId="0" borderId="32" xfId="0" applyNumberFormat="1" applyFont="1" applyFill="1" applyBorder="1" applyAlignment="1">
      <alignment horizontal="center" vertical="center"/>
    </xf>
    <xf numFmtId="181" fontId="31" fillId="0" borderId="31" xfId="0" applyNumberFormat="1" applyFont="1" applyFill="1" applyBorder="1" applyAlignment="1">
      <alignment horizontal="right" vertical="center"/>
    </xf>
    <xf numFmtId="181" fontId="31" fillId="0" borderId="33" xfId="0" applyNumberFormat="1" applyFont="1" applyFill="1" applyBorder="1" applyAlignment="1">
      <alignment horizontal="right" vertical="center"/>
    </xf>
    <xf numFmtId="0" fontId="29" fillId="0" borderId="0" xfId="0" applyFont="1" applyFill="1" applyAlignment="1">
      <alignment horizontal="center" vertical="center" textRotation="255" wrapText="1"/>
    </xf>
    <xf numFmtId="0" fontId="29" fillId="0" borderId="2" xfId="0" applyFont="1" applyFill="1" applyBorder="1" applyAlignment="1">
      <alignment horizontal="center" vertical="center" textRotation="255" wrapText="1"/>
    </xf>
    <xf numFmtId="0" fontId="29" fillId="0" borderId="3" xfId="0" applyFont="1" applyFill="1" applyBorder="1" applyAlignment="1">
      <alignment horizontal="center" vertical="center" textRotation="255" wrapText="1"/>
    </xf>
    <xf numFmtId="0" fontId="29" fillId="0" borderId="15" xfId="0" applyFont="1" applyFill="1" applyBorder="1" applyAlignment="1">
      <alignment horizontal="center" vertical="center" textRotation="255" wrapText="1"/>
    </xf>
    <xf numFmtId="0" fontId="27" fillId="0" borderId="0" xfId="11" applyFont="1" applyFill="1" applyAlignment="1">
      <alignment horizontal="center" vertical="center"/>
    </xf>
    <xf numFmtId="179" fontId="29" fillId="0" borderId="0" xfId="0" applyNumberFormat="1" applyFont="1" applyFill="1" applyAlignment="1">
      <alignment horizontal="center" vertical="center"/>
    </xf>
    <xf numFmtId="0" fontId="29" fillId="0" borderId="0" xfId="0" applyFont="1" applyFill="1" applyAlignment="1">
      <alignment horizontal="center" vertical="center"/>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0" xfId="0" applyFont="1" applyFill="1" applyBorder="1" applyAlignment="1">
      <alignment horizontal="center" vertical="center"/>
    </xf>
    <xf numFmtId="0" fontId="29" fillId="0" borderId="25" xfId="0" applyFont="1" applyFill="1" applyBorder="1" applyAlignment="1">
      <alignment horizontal="center" vertical="center" textRotation="255"/>
    </xf>
    <xf numFmtId="0" fontId="29" fillId="0" borderId="36" xfId="0" applyFont="1" applyFill="1" applyBorder="1" applyAlignment="1">
      <alignment horizontal="center" vertical="center" textRotation="255"/>
    </xf>
    <xf numFmtId="0" fontId="29" fillId="0" borderId="43" xfId="0" applyFont="1" applyFill="1" applyBorder="1" applyAlignment="1">
      <alignment horizontal="center" vertical="center" textRotation="255"/>
    </xf>
    <xf numFmtId="0" fontId="31" fillId="0" borderId="25"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0" xfId="0" applyFont="1" applyFill="1" applyAlignment="1">
      <alignment horizontal="center" vertical="center"/>
    </xf>
    <xf numFmtId="0" fontId="31" fillId="0" borderId="45"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46" xfId="0" applyFont="1" applyFill="1" applyBorder="1" applyAlignment="1">
      <alignment horizontal="center" vertical="center"/>
    </xf>
    <xf numFmtId="0" fontId="4" fillId="0" borderId="6" xfId="4" applyFont="1" applyBorder="1" applyAlignment="1">
      <alignment horizontal="center" vertical="center" wrapText="1"/>
    </xf>
    <xf numFmtId="0" fontId="39" fillId="0" borderId="4" xfId="0" applyFont="1" applyBorder="1" applyAlignment="1">
      <alignment horizontal="center" vertical="center" textRotation="255" wrapText="1"/>
    </xf>
    <xf numFmtId="0" fontId="39" fillId="0" borderId="1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0" xfId="0" applyFont="1" applyAlignment="1">
      <alignment horizontal="center" vertical="center" wrapText="1"/>
    </xf>
    <xf numFmtId="0" fontId="40" fillId="0" borderId="8" xfId="0" applyFont="1" applyBorder="1" applyAlignment="1">
      <alignment horizontal="center" vertical="center" wrapText="1"/>
    </xf>
    <xf numFmtId="0" fontId="39" fillId="0" borderId="5" xfId="0" applyFont="1" applyBorder="1" applyAlignment="1">
      <alignment horizontal="left" vertical="center" wrapText="1"/>
    </xf>
    <xf numFmtId="0" fontId="40" fillId="0" borderId="11" xfId="0" applyFont="1" applyBorder="1" applyAlignment="1">
      <alignment vertical="center" wrapText="1"/>
    </xf>
    <xf numFmtId="0" fontId="39" fillId="0" borderId="1" xfId="0" applyFont="1" applyBorder="1" applyAlignment="1">
      <alignment horizontal="center" vertical="center" wrapText="1"/>
    </xf>
    <xf numFmtId="0" fontId="39" fillId="0" borderId="11" xfId="0" applyFont="1" applyBorder="1" applyAlignment="1">
      <alignment horizontal="center" vertical="center" textRotation="255" wrapText="1"/>
    </xf>
    <xf numFmtId="0" fontId="39" fillId="0" borderId="13"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181" fontId="41" fillId="0" borderId="9" xfId="0" applyNumberFormat="1" applyFont="1" applyBorder="1" applyAlignment="1">
      <alignment horizontal="center" vertical="center"/>
    </xf>
    <xf numFmtId="181" fontId="41" fillId="0" borderId="14" xfId="0" applyNumberFormat="1" applyFont="1" applyBorder="1" applyAlignment="1">
      <alignment horizontal="center" vertical="center"/>
    </xf>
    <xf numFmtId="0" fontId="5" fillId="0" borderId="3" xfId="0" applyFont="1" applyBorder="1" applyAlignment="1">
      <alignment horizontal="left" wrapText="1"/>
    </xf>
    <xf numFmtId="0" fontId="5" fillId="0" borderId="3" xfId="0" applyFont="1" applyBorder="1" applyAlignment="1">
      <alignment horizontal="left"/>
    </xf>
    <xf numFmtId="0" fontId="39" fillId="0" borderId="29" xfId="0" applyFont="1" applyBorder="1" applyAlignment="1">
      <alignment horizontal="center" vertical="center" wrapText="1"/>
    </xf>
    <xf numFmtId="0" fontId="39" fillId="0" borderId="4" xfId="0" applyFont="1" applyBorder="1" applyAlignment="1">
      <alignment horizontal="center" vertical="center" textRotation="255"/>
    </xf>
    <xf numFmtId="179" fontId="34" fillId="0" borderId="0" xfId="12" applyNumberFormat="1" applyFont="1" applyAlignment="1">
      <alignment horizontal="center"/>
    </xf>
    <xf numFmtId="0" fontId="36" fillId="0" borderId="0" xfId="12" applyFont="1" applyAlignment="1">
      <alignment horizontal="center"/>
    </xf>
    <xf numFmtId="0" fontId="7" fillId="0" borderId="0" xfId="12" applyFont="1" applyAlignment="1">
      <alignment horizontal="center"/>
    </xf>
    <xf numFmtId="180" fontId="4" fillId="0" borderId="2" xfId="12" applyNumberFormat="1" applyFont="1" applyBorder="1" applyAlignment="1">
      <alignment horizontal="right"/>
    </xf>
    <xf numFmtId="0" fontId="0" fillId="0" borderId="2" xfId="0" applyBorder="1" applyAlignment="1">
      <alignment horizontal="right"/>
    </xf>
    <xf numFmtId="0" fontId="39" fillId="0" borderId="4" xfId="0" applyFont="1" applyBorder="1" applyAlignment="1">
      <alignment horizontal="center" vertical="center" wrapText="1"/>
    </xf>
    <xf numFmtId="0" fontId="39" fillId="0" borderId="14" xfId="0" applyFont="1" applyBorder="1" applyAlignment="1">
      <alignment horizontal="center" vertical="center" wrapText="1"/>
    </xf>
    <xf numFmtId="180" fontId="39" fillId="0" borderId="4" xfId="12" applyNumberFormat="1" applyFont="1" applyBorder="1" applyAlignment="1">
      <alignment horizontal="center" vertical="center"/>
    </xf>
    <xf numFmtId="0" fontId="4" fillId="0" borderId="13" xfId="13" applyFont="1" applyBorder="1" applyAlignment="1">
      <alignment horizontal="center" vertical="center" wrapText="1"/>
    </xf>
    <xf numFmtId="0" fontId="4" fillId="0" borderId="29" xfId="13" applyFont="1" applyBorder="1" applyAlignment="1">
      <alignment horizontal="center" vertical="center" wrapText="1"/>
    </xf>
    <xf numFmtId="0" fontId="4" fillId="0" borderId="14" xfId="13" applyFont="1" applyBorder="1" applyAlignment="1">
      <alignment horizontal="center" vertical="center" wrapText="1"/>
    </xf>
    <xf numFmtId="0" fontId="4" fillId="0" borderId="12" xfId="13" applyFont="1" applyBorder="1" applyAlignment="1">
      <alignment horizontal="center" vertical="center" wrapText="1"/>
    </xf>
    <xf numFmtId="0" fontId="4" fillId="0" borderId="6" xfId="13" applyFont="1" applyBorder="1" applyAlignment="1">
      <alignment horizontal="center" vertical="center" wrapText="1"/>
    </xf>
    <xf numFmtId="0" fontId="4" fillId="0" borderId="7" xfId="13" applyFont="1" applyBorder="1" applyAlignment="1">
      <alignment horizontal="center" vertical="center" wrapText="1"/>
    </xf>
    <xf numFmtId="0" fontId="2" fillId="0" borderId="0" xfId="6" applyFont="1" applyAlignment="1">
      <alignment horizontal="right" vertical="center"/>
    </xf>
    <xf numFmtId="0" fontId="5" fillId="0" borderId="0" xfId="13" applyFont="1" applyAlignment="1">
      <alignment horizontal="right"/>
    </xf>
    <xf numFmtId="0" fontId="4" fillId="0" borderId="1" xfId="13" applyFont="1" applyBorder="1" applyAlignment="1">
      <alignment horizontal="center" vertical="center"/>
    </xf>
    <xf numFmtId="0" fontId="4" fillId="0" borderId="8" xfId="13" applyFont="1" applyBorder="1" applyAlignment="1">
      <alignment horizontal="center" vertical="center"/>
    </xf>
    <xf numFmtId="0" fontId="4" fillId="0" borderId="9" xfId="13" applyFont="1" applyBorder="1" applyAlignment="1">
      <alignment horizontal="center" vertical="center"/>
    </xf>
    <xf numFmtId="0" fontId="4" fillId="0" borderId="1" xfId="13" applyFont="1" applyBorder="1" applyAlignment="1">
      <alignment horizontal="center" vertical="center" wrapText="1"/>
    </xf>
    <xf numFmtId="0" fontId="4" fillId="0" borderId="8" xfId="13" applyFont="1" applyBorder="1" applyAlignment="1">
      <alignment horizontal="center" vertical="center" wrapText="1"/>
    </xf>
    <xf numFmtId="0" fontId="4" fillId="0" borderId="9" xfId="13" applyFont="1" applyBorder="1" applyAlignment="1">
      <alignment horizontal="center" vertical="center" wrapText="1"/>
    </xf>
    <xf numFmtId="0" fontId="9" fillId="0" borderId="0" xfId="6" applyFont="1" applyAlignment="1">
      <alignment horizontal="left" vertical="center" wrapText="1"/>
    </xf>
    <xf numFmtId="0" fontId="9" fillId="0" borderId="0" xfId="6" applyFont="1" applyAlignment="1">
      <alignment horizontal="left" vertical="center"/>
    </xf>
    <xf numFmtId="0" fontId="4" fillId="0" borderId="4" xfId="5" applyFont="1" applyBorder="1" applyAlignment="1">
      <alignment horizontal="center" vertical="center"/>
    </xf>
    <xf numFmtId="0" fontId="5" fillId="0" borderId="13" xfId="5" applyFont="1" applyBorder="1" applyAlignment="1">
      <alignment horizontal="center" vertical="center" wrapText="1"/>
    </xf>
    <xf numFmtId="0" fontId="5" fillId="0" borderId="14" xfId="5" applyFont="1" applyBorder="1" applyAlignment="1">
      <alignment horizontal="center" vertical="center" wrapText="1"/>
    </xf>
    <xf numFmtId="0" fontId="4" fillId="0" borderId="13" xfId="5" applyFont="1" applyBorder="1" applyAlignment="1">
      <alignment horizontal="center" vertical="center"/>
    </xf>
    <xf numFmtId="0" fontId="4" fillId="0" borderId="14" xfId="5" applyFont="1" applyBorder="1" applyAlignment="1">
      <alignment horizontal="center" vertical="center"/>
    </xf>
    <xf numFmtId="0" fontId="4" fillId="0" borderId="12" xfId="5" applyFont="1" applyBorder="1" applyAlignment="1">
      <alignment horizontal="center" vertical="center"/>
    </xf>
    <xf numFmtId="0" fontId="4" fillId="0" borderId="7" xfId="5" applyFont="1" applyBorder="1" applyAlignment="1">
      <alignment horizontal="center" vertical="center"/>
    </xf>
    <xf numFmtId="0" fontId="0" fillId="0" borderId="0" xfId="0" applyAlignment="1">
      <alignment horizontal="right" vertical="center"/>
    </xf>
    <xf numFmtId="0" fontId="2" fillId="0" borderId="0" xfId="5" applyFont="1" applyAlignment="1">
      <alignment horizontal="left" vertical="center"/>
    </xf>
    <xf numFmtId="0" fontId="4" fillId="0" borderId="2" xfId="5" applyFont="1" applyBorder="1" applyAlignment="1">
      <alignment horizontal="right"/>
    </xf>
    <xf numFmtId="0" fontId="4" fillId="0" borderId="2" xfId="0" applyFont="1" applyBorder="1" applyAlignment="1">
      <alignment horizontal="right"/>
    </xf>
    <xf numFmtId="0" fontId="4" fillId="0" borderId="2" xfId="5" applyFont="1" applyBorder="1" applyAlignment="1">
      <alignment horizontal="left"/>
    </xf>
    <xf numFmtId="0" fontId="5" fillId="0" borderId="2" xfId="5" applyFont="1" applyBorder="1" applyAlignment="1">
      <alignment horizontal="right"/>
    </xf>
    <xf numFmtId="0" fontId="4" fillId="0" borderId="0" xfId="6" applyFont="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4" fillId="0" borderId="2" xfId="5" applyFont="1" applyBorder="1" applyAlignment="1">
      <alignment horizontal="center" vertical="center"/>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4" fillId="0" borderId="5" xfId="5" applyFont="1" applyBorder="1" applyAlignment="1">
      <alignment horizontal="center" vertical="center"/>
    </xf>
    <xf numFmtId="0" fontId="4" fillId="0" borderId="1" xfId="5" applyFont="1" applyBorder="1" applyAlignment="1">
      <alignment horizontal="center" vertical="center"/>
    </xf>
    <xf numFmtId="0" fontId="4" fillId="0" borderId="9" xfId="5" applyFont="1" applyBorder="1" applyAlignment="1">
      <alignment horizontal="center" vertical="center"/>
    </xf>
    <xf numFmtId="0" fontId="4" fillId="0" borderId="13" xfId="5" applyFont="1" applyBorder="1" applyAlignment="1">
      <alignment horizontal="center" vertical="center" wrapText="1"/>
    </xf>
    <xf numFmtId="0" fontId="4" fillId="0" borderId="14" xfId="5" applyFont="1" applyBorder="1" applyAlignment="1">
      <alignment horizontal="center" vertical="center" wrapText="1"/>
    </xf>
    <xf numFmtId="0" fontId="7" fillId="0" borderId="10" xfId="5" applyBorder="1"/>
    <xf numFmtId="0" fontId="34" fillId="0" borderId="0" xfId="6" applyFont="1" applyAlignment="1">
      <alignment horizontal="right" vertical="center"/>
    </xf>
    <xf numFmtId="0" fontId="34" fillId="0" borderId="0" xfId="6" applyFont="1" applyAlignment="1">
      <alignment horizontal="left" vertical="center"/>
    </xf>
    <xf numFmtId="0" fontId="29" fillId="0" borderId="2" xfId="5" applyFont="1" applyBorder="1" applyAlignment="1">
      <alignment horizontal="right"/>
    </xf>
    <xf numFmtId="0" fontId="29" fillId="0" borderId="0" xfId="5" applyFont="1" applyAlignment="1">
      <alignment horizontal="right"/>
    </xf>
    <xf numFmtId="0" fontId="29" fillId="0" borderId="2" xfId="5" applyFont="1" applyBorder="1" applyAlignment="1">
      <alignment horizontal="left"/>
    </xf>
    <xf numFmtId="0" fontId="4" fillId="0" borderId="3" xfId="5" applyFont="1" applyBorder="1" applyAlignment="1">
      <alignment horizontal="center" vertical="center"/>
    </xf>
    <xf numFmtId="0" fontId="4" fillId="0" borderId="8" xfId="5" applyFont="1" applyBorder="1" applyAlignment="1">
      <alignment horizontal="center" vertical="center"/>
    </xf>
    <xf numFmtId="0" fontId="10" fillId="0" borderId="5" xfId="5" applyFont="1" applyBorder="1" applyAlignment="1">
      <alignment horizontal="center" vertical="center" wrapText="1"/>
    </xf>
    <xf numFmtId="0" fontId="10" fillId="0" borderId="11" xfId="5" applyFont="1" applyBorder="1" applyAlignment="1">
      <alignment horizontal="center" vertical="center"/>
    </xf>
    <xf numFmtId="0" fontId="10" fillId="0" borderId="10" xfId="5" applyFont="1" applyBorder="1" applyAlignment="1">
      <alignment horizontal="center" vertical="center"/>
    </xf>
    <xf numFmtId="0" fontId="10" fillId="0" borderId="0" xfId="5" applyFont="1" applyAlignment="1">
      <alignment horizontal="center" vertical="center"/>
    </xf>
    <xf numFmtId="0" fontId="10" fillId="0" borderId="2" xfId="5" applyFont="1" applyBorder="1" applyAlignment="1">
      <alignment horizontal="center" vertical="center"/>
    </xf>
    <xf numFmtId="41" fontId="10" fillId="0" borderId="5" xfId="5" applyNumberFormat="1" applyFont="1" applyBorder="1" applyAlignment="1">
      <alignment horizontal="center" vertical="center" wrapText="1"/>
    </xf>
    <xf numFmtId="41" fontId="10" fillId="0" borderId="11" xfId="5" applyNumberFormat="1" applyFont="1" applyBorder="1" applyAlignment="1">
      <alignment horizontal="center" vertical="center"/>
    </xf>
    <xf numFmtId="0" fontId="10" fillId="0" borderId="10" xfId="0" applyFont="1" applyBorder="1" applyAlignment="1">
      <alignment horizontal="center" vertical="center"/>
    </xf>
    <xf numFmtId="0" fontId="2" fillId="0" borderId="0" xfId="0" applyFont="1" applyAlignment="1">
      <alignment horizontal="right"/>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0" fillId="0" borderId="10" xfId="0" applyBorder="1" applyAlignment="1">
      <alignment vertical="center"/>
    </xf>
    <xf numFmtId="0" fontId="7" fillId="0" borderId="13" xfId="16" applyFont="1" applyBorder="1" applyAlignment="1">
      <alignment horizontal="center" vertical="center"/>
    </xf>
    <xf numFmtId="0" fontId="7" fillId="0" borderId="29" xfId="16" applyFont="1" applyBorder="1" applyAlignment="1">
      <alignment vertical="center"/>
    </xf>
    <xf numFmtId="0" fontId="41" fillId="0" borderId="0" xfId="16" applyFont="1" applyAlignment="1">
      <alignment horizontal="right"/>
    </xf>
    <xf numFmtId="0" fontId="7" fillId="0" borderId="13" xfId="16" applyFont="1" applyBorder="1" applyAlignment="1">
      <alignment horizontal="center" vertical="center" wrapText="1"/>
    </xf>
    <xf numFmtId="0" fontId="7" fillId="0" borderId="80" xfId="0" applyFont="1" applyBorder="1" applyAlignment="1">
      <alignment horizontal="center" vertical="center"/>
    </xf>
    <xf numFmtId="0" fontId="7" fillId="0" borderId="81" xfId="0" applyFont="1" applyBorder="1" applyAlignment="1">
      <alignment vertical="center"/>
    </xf>
    <xf numFmtId="0" fontId="7" fillId="0" borderId="81" xfId="0" applyFont="1" applyBorder="1" applyAlignment="1">
      <alignment horizontal="center" vertical="center"/>
    </xf>
    <xf numFmtId="184" fontId="7" fillId="0" borderId="7" xfId="0" applyNumberFormat="1" applyFont="1" applyBorder="1" applyAlignment="1">
      <alignment horizontal="center" vertical="center"/>
    </xf>
    <xf numFmtId="184" fontId="7" fillId="0" borderId="9" xfId="0" applyNumberFormat="1" applyFont="1" applyBorder="1" applyAlignment="1">
      <alignment horizontal="center" vertical="center"/>
    </xf>
    <xf numFmtId="184" fontId="7" fillId="0" borderId="7" xfId="7" applyNumberFormat="1" applyFont="1" applyFill="1" applyBorder="1" applyAlignment="1">
      <alignment horizontal="center" vertical="center"/>
    </xf>
    <xf numFmtId="184" fontId="7" fillId="0" borderId="9" xfId="7" applyNumberFormat="1" applyFont="1" applyFill="1" applyBorder="1" applyAlignment="1">
      <alignment horizontal="center" vertical="center"/>
    </xf>
    <xf numFmtId="189" fontId="7" fillId="0" borderId="5" xfId="0" applyNumberFormat="1" applyFont="1" applyBorder="1" applyAlignment="1">
      <alignment horizontal="center" vertical="center"/>
    </xf>
    <xf numFmtId="189" fontId="7" fillId="0" borderId="11" xfId="0" applyNumberFormat="1" applyFont="1" applyBorder="1" applyAlignment="1">
      <alignment horizontal="center" vertical="center"/>
    </xf>
    <xf numFmtId="190" fontId="7" fillId="0" borderId="5" xfId="0" applyNumberFormat="1" applyFont="1" applyBorder="1" applyAlignment="1">
      <alignment horizontal="center" vertical="center"/>
    </xf>
    <xf numFmtId="190" fontId="7" fillId="0" borderId="11" xfId="0" applyNumberFormat="1"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191" fontId="7" fillId="0" borderId="4" xfId="7" applyNumberFormat="1" applyFont="1" applyFill="1" applyBorder="1" applyAlignment="1">
      <alignment horizontal="center" vertical="center"/>
    </xf>
    <xf numFmtId="184" fontId="7" fillId="0" borderId="4" xfId="7" applyNumberFormat="1" applyFont="1" applyFill="1" applyBorder="1" applyAlignment="1">
      <alignment horizontal="center" vertical="center"/>
    </xf>
    <xf numFmtId="9" fontId="7" fillId="0" borderId="4" xfId="0" applyNumberFormat="1" applyFont="1" applyBorder="1" applyAlignment="1">
      <alignment horizontal="center" vertical="center"/>
    </xf>
    <xf numFmtId="10" fontId="7" fillId="0" borderId="7" xfId="0" applyNumberFormat="1" applyFont="1" applyBorder="1" applyAlignment="1">
      <alignment horizontal="center" vertical="center"/>
    </xf>
    <xf numFmtId="10" fontId="7" fillId="0" borderId="9" xfId="0" applyNumberFormat="1" applyFont="1" applyBorder="1" applyAlignment="1">
      <alignment horizontal="center" vertical="center"/>
    </xf>
    <xf numFmtId="10" fontId="7" fillId="0" borderId="14" xfId="0" applyNumberFormat="1" applyFont="1" applyBorder="1" applyAlignment="1">
      <alignment horizontal="center" vertical="center"/>
    </xf>
    <xf numFmtId="10" fontId="7" fillId="0" borderId="4" xfId="0" applyNumberFormat="1"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192" fontId="7" fillId="0" borderId="12" xfId="0" applyNumberFormat="1" applyFont="1" applyBorder="1" applyAlignment="1">
      <alignment horizontal="center" vertical="center"/>
    </xf>
    <xf numFmtId="192" fontId="7" fillId="0" borderId="1" xfId="0" applyNumberFormat="1" applyFont="1" applyBorder="1" applyAlignment="1">
      <alignment horizontal="center" vertical="center"/>
    </xf>
    <xf numFmtId="192" fontId="7" fillId="0" borderId="7" xfId="0" applyNumberFormat="1" applyFont="1" applyBorder="1" applyAlignment="1">
      <alignment horizontal="center" vertical="center"/>
    </xf>
    <xf numFmtId="192" fontId="7" fillId="0" borderId="9" xfId="0" applyNumberFormat="1" applyFont="1" applyBorder="1" applyAlignment="1">
      <alignment horizontal="center" vertical="center"/>
    </xf>
    <xf numFmtId="192" fontId="7" fillId="0" borderId="12" xfId="0" applyNumberFormat="1" applyFont="1" applyBorder="1" applyAlignment="1">
      <alignment horizontal="center" vertical="center" wrapText="1"/>
    </xf>
    <xf numFmtId="192" fontId="7" fillId="0" borderId="1" xfId="0" applyNumberFormat="1" applyFont="1" applyBorder="1" applyAlignment="1">
      <alignment horizontal="center" vertical="center" wrapText="1"/>
    </xf>
    <xf numFmtId="192" fontId="7" fillId="0" borderId="7" xfId="0" applyNumberFormat="1" applyFont="1" applyBorder="1" applyAlignment="1">
      <alignment horizontal="center" vertical="center" wrapText="1"/>
    </xf>
    <xf numFmtId="192" fontId="7" fillId="0" borderId="9" xfId="0" applyNumberFormat="1" applyFont="1" applyBorder="1" applyAlignment="1">
      <alignment horizontal="center" vertical="center" wrapText="1"/>
    </xf>
    <xf numFmtId="0" fontId="7" fillId="0" borderId="10" xfId="0" applyFont="1" applyBorder="1" applyAlignment="1">
      <alignment horizontal="right" vertical="center" wrapText="1"/>
    </xf>
    <xf numFmtId="192" fontId="7" fillId="0" borderId="4" xfId="0" applyNumberFormat="1" applyFont="1" applyBorder="1" applyAlignment="1">
      <alignment horizontal="center" vertical="center"/>
    </xf>
    <xf numFmtId="192" fontId="7" fillId="0" borderId="2" xfId="0" applyNumberFormat="1" applyFont="1" applyBorder="1" applyAlignment="1">
      <alignment horizontal="right"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192" fontId="7" fillId="0" borderId="4" xfId="0" applyNumberFormat="1" applyFont="1" applyBorder="1" applyAlignment="1">
      <alignment horizontal="left" vertical="center"/>
    </xf>
    <xf numFmtId="192" fontId="7" fillId="0" borderId="4" xfId="0" applyNumberFormat="1" applyFont="1" applyBorder="1" applyAlignment="1">
      <alignment horizontal="left" vertical="center" wrapText="1"/>
    </xf>
    <xf numFmtId="0" fontId="7" fillId="0" borderId="13" xfId="0" applyFont="1" applyBorder="1" applyAlignment="1">
      <alignment horizontal="center" vertical="center"/>
    </xf>
    <xf numFmtId="0" fontId="7" fillId="0" borderId="82" xfId="0" applyFont="1" applyBorder="1" applyAlignment="1">
      <alignment horizontal="center" vertical="center"/>
    </xf>
    <xf numFmtId="0" fontId="7" fillId="0" borderId="12" xfId="0" applyFont="1" applyBorder="1" applyAlignment="1">
      <alignment horizontal="center"/>
    </xf>
    <xf numFmtId="0" fontId="7" fillId="0" borderId="1" xfId="0" applyFont="1" applyBorder="1" applyAlignment="1">
      <alignment horizontal="center"/>
    </xf>
    <xf numFmtId="182" fontId="7" fillId="0" borderId="83" xfId="0" applyNumberFormat="1" applyFont="1" applyBorder="1" applyAlignment="1">
      <alignment horizontal="center" vertical="center"/>
    </xf>
    <xf numFmtId="182" fontId="7" fillId="0" borderId="4" xfId="0" applyNumberFormat="1" applyFont="1" applyBorder="1" applyAlignment="1">
      <alignment horizontal="center" vertical="center"/>
    </xf>
    <xf numFmtId="0" fontId="7" fillId="0" borderId="10" xfId="0" applyFont="1" applyBorder="1" applyAlignment="1">
      <alignment horizontal="center" vertical="center"/>
    </xf>
    <xf numFmtId="176" fontId="61" fillId="4" borderId="4" xfId="0" applyNumberFormat="1" applyFont="1" applyFill="1" applyBorder="1" applyAlignment="1">
      <alignment horizontal="center" vertical="center" wrapText="1"/>
    </xf>
    <xf numFmtId="176" fontId="61" fillId="4" borderId="79" xfId="0" applyNumberFormat="1" applyFont="1" applyFill="1" applyBorder="1" applyAlignment="1">
      <alignment horizontal="center" vertical="center" wrapText="1"/>
    </xf>
    <xf numFmtId="176" fontId="61" fillId="0" borderId="4" xfId="0" applyNumberFormat="1" applyFont="1" applyBorder="1" applyAlignment="1">
      <alignment horizontal="center" vertical="center" wrapText="1"/>
    </xf>
    <xf numFmtId="176" fontId="61" fillId="0" borderId="79" xfId="0" applyNumberFormat="1" applyFont="1" applyBorder="1" applyAlignment="1">
      <alignment horizontal="center" vertical="center" wrapText="1"/>
    </xf>
    <xf numFmtId="0" fontId="7" fillId="0" borderId="79" xfId="0" applyFont="1" applyBorder="1" applyAlignment="1">
      <alignment horizontal="center" vertical="center"/>
    </xf>
    <xf numFmtId="9" fontId="7" fillId="0" borderId="14" xfId="0" applyNumberFormat="1" applyFont="1" applyBorder="1" applyAlignment="1">
      <alignment horizontal="center"/>
    </xf>
    <xf numFmtId="9" fontId="7" fillId="0" borderId="4" xfId="0" applyNumberFormat="1" applyFont="1" applyBorder="1" applyAlignment="1">
      <alignment horizontal="center"/>
    </xf>
    <xf numFmtId="0" fontId="51" fillId="0" borderId="0" xfId="15" applyFont="1" applyAlignment="1">
      <alignment horizontal="center" vertical="center"/>
    </xf>
    <xf numFmtId="0" fontId="39" fillId="0" borderId="5" xfId="13" applyFont="1" applyFill="1" applyBorder="1" applyAlignment="1">
      <alignment horizontal="center" vertical="center"/>
    </xf>
    <xf numFmtId="0" fontId="39" fillId="0" borderId="10" xfId="13" applyFont="1" applyFill="1" applyBorder="1" applyAlignment="1">
      <alignment horizontal="center" vertical="center"/>
    </xf>
    <xf numFmtId="0" fontId="4" fillId="0" borderId="0" xfId="0" applyFont="1" applyFill="1" applyAlignment="1">
      <alignment horizontal="left" wrapText="1"/>
    </xf>
    <xf numFmtId="0" fontId="4" fillId="0" borderId="0" xfId="0" applyFont="1" applyFill="1" applyAlignment="1">
      <alignment horizontal="left"/>
    </xf>
    <xf numFmtId="0" fontId="4" fillId="0" borderId="0" xfId="13" applyFont="1" applyFill="1" applyAlignment="1">
      <alignment horizontal="left"/>
    </xf>
    <xf numFmtId="0" fontId="54" fillId="0" borderId="3" xfId="0" applyFont="1" applyBorder="1" applyAlignment="1">
      <alignment horizontal="left"/>
    </xf>
    <xf numFmtId="0" fontId="39" fillId="0" borderId="13" xfId="15" applyFont="1" applyFill="1" applyBorder="1" applyAlignment="1">
      <alignment horizontal="center" vertical="center" wrapText="1"/>
    </xf>
    <xf numFmtId="0" fontId="39" fillId="0" borderId="14" xfId="15" applyFont="1" applyFill="1" applyBorder="1" applyAlignment="1">
      <alignment horizontal="center" vertical="center" wrapText="1"/>
    </xf>
    <xf numFmtId="0" fontId="39" fillId="0" borderId="13" xfId="15" applyFont="1" applyFill="1" applyBorder="1" applyAlignment="1">
      <alignment horizontal="center" vertical="center"/>
    </xf>
    <xf numFmtId="0" fontId="39" fillId="0" borderId="12" xfId="15" applyFont="1" applyFill="1" applyBorder="1" applyAlignment="1">
      <alignment horizontal="center" vertical="center" wrapText="1"/>
    </xf>
    <xf numFmtId="0" fontId="0" fillId="0" borderId="7" xfId="0" applyBorder="1" applyAlignment="1">
      <alignment horizontal="center" vertical="center" wrapText="1"/>
    </xf>
    <xf numFmtId="0" fontId="53" fillId="0" borderId="0" xfId="15" applyFont="1" applyAlignment="1">
      <alignment horizontal="center" vertical="center"/>
    </xf>
    <xf numFmtId="0" fontId="39" fillId="0" borderId="13" xfId="13" applyFont="1" applyFill="1" applyBorder="1" applyAlignment="1">
      <alignment horizontal="center" vertical="center"/>
    </xf>
    <xf numFmtId="0" fontId="39" fillId="0" borderId="14" xfId="13" applyFont="1" applyFill="1" applyBorder="1" applyAlignment="1">
      <alignment horizontal="center" vertical="center"/>
    </xf>
    <xf numFmtId="0" fontId="39" fillId="0" borderId="13" xfId="13" applyFont="1" applyFill="1" applyBorder="1" applyAlignment="1">
      <alignment horizontal="center" vertical="center" wrapText="1"/>
    </xf>
    <xf numFmtId="0" fontId="39" fillId="0" borderId="14" xfId="13" applyFont="1" applyFill="1" applyBorder="1" applyAlignment="1">
      <alignment horizontal="center" vertical="center" wrapText="1"/>
    </xf>
    <xf numFmtId="0" fontId="39" fillId="0" borderId="29" xfId="13" applyFont="1" applyFill="1" applyBorder="1" applyAlignment="1">
      <alignment horizontal="center" vertical="center" wrapText="1"/>
    </xf>
    <xf numFmtId="0" fontId="39" fillId="0" borderId="5" xfId="13" applyFont="1" applyFill="1" applyBorder="1" applyAlignment="1">
      <alignment horizontal="center" vertical="center" wrapText="1"/>
    </xf>
    <xf numFmtId="0" fontId="39" fillId="0" borderId="11" xfId="13" applyFont="1" applyFill="1" applyBorder="1" applyAlignment="1">
      <alignment horizontal="center" vertical="center" wrapText="1"/>
    </xf>
    <xf numFmtId="0" fontId="5" fillId="0" borderId="2" xfId="14" applyFont="1" applyBorder="1" applyAlignment="1">
      <alignment horizontal="left"/>
    </xf>
    <xf numFmtId="0" fontId="5" fillId="0" borderId="2" xfId="17" applyFont="1" applyBorder="1" applyAlignment="1">
      <alignment horizontal="left"/>
    </xf>
    <xf numFmtId="0" fontId="5" fillId="0" borderId="0" xfId="17" applyFont="1" applyBorder="1" applyAlignment="1">
      <alignment horizontal="left"/>
    </xf>
    <xf numFmtId="0" fontId="4" fillId="0" borderId="11" xfId="17" applyFont="1" applyBorder="1" applyAlignment="1">
      <alignment horizontal="center" vertical="center"/>
    </xf>
    <xf numFmtId="0" fontId="4" fillId="0" borderId="4" xfId="17" applyFont="1" applyBorder="1" applyAlignment="1">
      <alignment horizontal="center" vertical="center"/>
    </xf>
    <xf numFmtId="0" fontId="4" fillId="0" borderId="5" xfId="17" applyFont="1" applyBorder="1" applyAlignment="1">
      <alignment horizontal="center" vertical="center"/>
    </xf>
    <xf numFmtId="0" fontId="4" fillId="0" borderId="10" xfId="17" applyFont="1" applyBorder="1" applyAlignment="1">
      <alignment horizontal="center" vertical="center"/>
    </xf>
    <xf numFmtId="0" fontId="4" fillId="0" borderId="12" xfId="17" applyFont="1" applyBorder="1" applyAlignment="1">
      <alignment horizontal="center" vertical="center" wrapText="1"/>
    </xf>
    <xf numFmtId="0" fontId="4" fillId="0" borderId="7" xfId="17" applyFont="1" applyBorder="1" applyAlignment="1">
      <alignment horizontal="center" vertical="center" wrapText="1"/>
    </xf>
  </cellXfs>
  <cellStyles count="18">
    <cellStyle name="一般" xfId="0" builtinId="0"/>
    <cellStyle name="一般_6.統計表" xfId="14"/>
    <cellStyle name="一般_6.統計表(新)" xfId="13"/>
    <cellStyle name="一般_91基金運用組合規劃表" xfId="12"/>
    <cellStyle name="一般_94統計表" xfId="1"/>
    <cellStyle name="一般_94統計表(資訊室)" xfId="17"/>
    <cellStyle name="一般_970215本會96統計表(資訊室)OK" xfId="2"/>
    <cellStyle name="一般_Sheet1" xfId="3"/>
    <cellStyle name="一般_定撥資料提供(表48-49)" xfId="9"/>
    <cellStyle name="一般_統計表" xfId="4"/>
    <cellStyle name="一般_統計表(資ok)" xfId="5"/>
    <cellStyle name="一般_揭露報告書(98.12.31)" xfId="16"/>
    <cellStyle name="一般_新增Microsoft Excel 工作表" xfId="11"/>
    <cellStyle name="一般_業務組-空白" xfId="6"/>
    <cellStyle name="一般_業務組-空白_年報統計表-99年(財務組空白表)" xfId="15"/>
    <cellStyle name="千分位" xfId="10" builtinId="3"/>
    <cellStyle name="千分位 2" xfId="7"/>
    <cellStyle name="百分比 2" xfId="8"/>
  </cellStyles>
  <dxfs count="0"/>
  <tableStyles count="0" defaultTableStyle="TableStyleMedium9" defaultPivotStyle="PivotStyleLight16"/>
  <colors>
    <mruColors>
      <color rgb="FF00FF00"/>
      <color rgb="FF9966FF"/>
      <color rgb="FFCC99FF"/>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4.xml"/><Relationship Id="rId79" Type="http://schemas.openxmlformats.org/officeDocument/2006/relationships/externalLink" Target="externalLinks/externalLink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80" Type="http://schemas.openxmlformats.org/officeDocument/2006/relationships/externalLink" Target="externalLinks/externalLink1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78" Type="http://schemas.openxmlformats.org/officeDocument/2006/relationships/externalLink" Target="externalLinks/externalLink8.xml"/><Relationship Id="rId81" Type="http://schemas.openxmlformats.org/officeDocument/2006/relationships/externalLink" Target="externalLinks/externalLink11.xml"/><Relationship Id="rId86"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21</xdr:row>
      <xdr:rowOff>0</xdr:rowOff>
    </xdr:from>
    <xdr:to>
      <xdr:col>8</xdr:col>
      <xdr:colOff>0</xdr:colOff>
      <xdr:row>21</xdr:row>
      <xdr:rowOff>0</xdr:rowOff>
    </xdr:to>
    <xdr:sp macro="" textlink="">
      <xdr:nvSpPr>
        <xdr:cNvPr id="2" name="Line 1">
          <a:extLst>
            <a:ext uri="{FF2B5EF4-FFF2-40B4-BE49-F238E27FC236}">
              <a16:creationId xmlns="" xmlns:a16="http://schemas.microsoft.com/office/drawing/2014/main" id="{6C91EC4D-6672-4FF7-B33A-DE17F635B480}"/>
            </a:ext>
          </a:extLst>
        </xdr:cNvPr>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3" name="Line 3">
          <a:extLst>
            <a:ext uri="{FF2B5EF4-FFF2-40B4-BE49-F238E27FC236}">
              <a16:creationId xmlns="" xmlns:a16="http://schemas.microsoft.com/office/drawing/2014/main" id="{64949C26-30CF-48A9-AF83-27F25BA4D376}"/>
            </a:ext>
          </a:extLst>
        </xdr:cNvPr>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 name="Line 4">
          <a:extLst>
            <a:ext uri="{FF2B5EF4-FFF2-40B4-BE49-F238E27FC236}">
              <a16:creationId xmlns="" xmlns:a16="http://schemas.microsoft.com/office/drawing/2014/main" id="{B8E5ACEE-0E21-438E-9298-96230982B5EB}"/>
            </a:ext>
          </a:extLst>
        </xdr:cNvPr>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5" name="Line 5">
          <a:extLst>
            <a:ext uri="{FF2B5EF4-FFF2-40B4-BE49-F238E27FC236}">
              <a16:creationId xmlns="" xmlns:a16="http://schemas.microsoft.com/office/drawing/2014/main" id="{34445289-5DA8-4005-BDC4-96ABD0070C71}"/>
            </a:ext>
          </a:extLst>
        </xdr:cNvPr>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 name="Line 6">
          <a:extLst>
            <a:ext uri="{FF2B5EF4-FFF2-40B4-BE49-F238E27FC236}">
              <a16:creationId xmlns="" xmlns:a16="http://schemas.microsoft.com/office/drawing/2014/main" id="{DC5C1DC6-8444-42D0-B2B4-E968AEAFC391}"/>
            </a:ext>
          </a:extLst>
        </xdr:cNvPr>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7" name="Line 7">
          <a:extLst>
            <a:ext uri="{FF2B5EF4-FFF2-40B4-BE49-F238E27FC236}">
              <a16:creationId xmlns="" xmlns:a16="http://schemas.microsoft.com/office/drawing/2014/main" id="{C7120E8A-DD7C-4909-97B8-0FABCE6196F0}"/>
            </a:ext>
          </a:extLst>
        </xdr:cNvPr>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8" name="Line 8">
          <a:extLst>
            <a:ext uri="{FF2B5EF4-FFF2-40B4-BE49-F238E27FC236}">
              <a16:creationId xmlns="" xmlns:a16="http://schemas.microsoft.com/office/drawing/2014/main" id="{1A8C510A-0CAA-40E1-AB1D-AA883B9DD012}"/>
            </a:ext>
          </a:extLst>
        </xdr:cNvPr>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9" name="Line 9">
          <a:extLst>
            <a:ext uri="{FF2B5EF4-FFF2-40B4-BE49-F238E27FC236}">
              <a16:creationId xmlns="" xmlns:a16="http://schemas.microsoft.com/office/drawing/2014/main" id="{08A0DFF2-D791-476C-93BC-D9542854020D}"/>
            </a:ext>
          </a:extLst>
        </xdr:cNvPr>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17</xdr:row>
      <xdr:rowOff>0</xdr:rowOff>
    </xdr:from>
    <xdr:to>
      <xdr:col>2</xdr:col>
      <xdr:colOff>114300</xdr:colOff>
      <xdr:row>17</xdr:row>
      <xdr:rowOff>238125</xdr:rowOff>
    </xdr:to>
    <xdr:sp macro="" textlink="">
      <xdr:nvSpPr>
        <xdr:cNvPr id="2" name="Text Box 1">
          <a:extLst>
            <a:ext uri="{FF2B5EF4-FFF2-40B4-BE49-F238E27FC236}">
              <a16:creationId xmlns="" xmlns:a16="http://schemas.microsoft.com/office/drawing/2014/main" id="{7822E71E-0B8F-4ADB-987A-373F0CE4B517}"/>
            </a:ext>
          </a:extLst>
        </xdr:cNvPr>
        <xdr:cNvSpPr txBox="1">
          <a:spLocks noChangeArrowheads="1"/>
        </xdr:cNvSpPr>
      </xdr:nvSpPr>
      <xdr:spPr bwMode="auto">
        <a:xfrm>
          <a:off x="3400425" y="5505450"/>
          <a:ext cx="76200" cy="238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4</xdr:col>
      <xdr:colOff>0</xdr:colOff>
      <xdr:row>1</xdr:row>
      <xdr:rowOff>247650</xdr:rowOff>
    </xdr:to>
    <xdr:sp macro="" textlink="">
      <xdr:nvSpPr>
        <xdr:cNvPr id="3" name="Text Box 2">
          <a:extLst>
            <a:ext uri="{FF2B5EF4-FFF2-40B4-BE49-F238E27FC236}">
              <a16:creationId xmlns="" xmlns:a16="http://schemas.microsoft.com/office/drawing/2014/main" id="{38FE66F6-63EF-46C2-8187-FC6AA3D515E2}"/>
            </a:ext>
          </a:extLst>
        </xdr:cNvPr>
        <xdr:cNvSpPr txBox="1">
          <a:spLocks noChangeArrowheads="1"/>
        </xdr:cNvSpPr>
      </xdr:nvSpPr>
      <xdr:spPr bwMode="auto">
        <a:xfrm>
          <a:off x="6657975" y="742950"/>
          <a:ext cx="0" cy="247650"/>
        </a:xfrm>
        <a:prstGeom prst="rect">
          <a:avLst/>
        </a:prstGeom>
        <a:solidFill>
          <a:srgbClr val="FFFFFF"/>
        </a:solidFill>
        <a:ln w="9525">
          <a:solidFill>
            <a:srgbClr val="FFFFFF"/>
          </a:solid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單位：新台幣元</a:t>
          </a:r>
        </a:p>
      </xdr:txBody>
    </xdr:sp>
    <xdr:clientData/>
  </xdr:twoCellAnchor>
  <xdr:twoCellAnchor editAs="oneCell">
    <xdr:from>
      <xdr:col>2</xdr:col>
      <xdr:colOff>38100</xdr:colOff>
      <xdr:row>17</xdr:row>
      <xdr:rowOff>0</xdr:rowOff>
    </xdr:from>
    <xdr:to>
      <xdr:col>2</xdr:col>
      <xdr:colOff>114300</xdr:colOff>
      <xdr:row>17</xdr:row>
      <xdr:rowOff>238125</xdr:rowOff>
    </xdr:to>
    <xdr:sp macro="" textlink="">
      <xdr:nvSpPr>
        <xdr:cNvPr id="4" name="Text Box 3">
          <a:extLst>
            <a:ext uri="{FF2B5EF4-FFF2-40B4-BE49-F238E27FC236}">
              <a16:creationId xmlns="" xmlns:a16="http://schemas.microsoft.com/office/drawing/2014/main" id="{42842602-D1C5-4A0B-A0A0-35D1B3B32712}"/>
            </a:ext>
          </a:extLst>
        </xdr:cNvPr>
        <xdr:cNvSpPr txBox="1">
          <a:spLocks noChangeArrowheads="1"/>
        </xdr:cNvSpPr>
      </xdr:nvSpPr>
      <xdr:spPr bwMode="auto">
        <a:xfrm>
          <a:off x="3400425" y="5505450"/>
          <a:ext cx="76200" cy="238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38100</xdr:colOff>
      <xdr:row>17</xdr:row>
      <xdr:rowOff>0</xdr:rowOff>
    </xdr:from>
    <xdr:to>
      <xdr:col>2</xdr:col>
      <xdr:colOff>114300</xdr:colOff>
      <xdr:row>17</xdr:row>
      <xdr:rowOff>238125</xdr:rowOff>
    </xdr:to>
    <xdr:sp macro="" textlink="">
      <xdr:nvSpPr>
        <xdr:cNvPr id="5" name="Text Box 4">
          <a:extLst>
            <a:ext uri="{FF2B5EF4-FFF2-40B4-BE49-F238E27FC236}">
              <a16:creationId xmlns="" xmlns:a16="http://schemas.microsoft.com/office/drawing/2014/main" id="{90E189C8-77C7-4946-B782-45559EA82E36}"/>
            </a:ext>
          </a:extLst>
        </xdr:cNvPr>
        <xdr:cNvSpPr txBox="1">
          <a:spLocks noChangeArrowheads="1"/>
        </xdr:cNvSpPr>
      </xdr:nvSpPr>
      <xdr:spPr bwMode="auto">
        <a:xfrm>
          <a:off x="3400425" y="5505450"/>
          <a:ext cx="76200" cy="238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4</xdr:col>
      <xdr:colOff>0</xdr:colOff>
      <xdr:row>1</xdr:row>
      <xdr:rowOff>247650</xdr:rowOff>
    </xdr:to>
    <xdr:sp macro="" textlink="">
      <xdr:nvSpPr>
        <xdr:cNvPr id="6" name="Text Box 5">
          <a:extLst>
            <a:ext uri="{FF2B5EF4-FFF2-40B4-BE49-F238E27FC236}">
              <a16:creationId xmlns="" xmlns:a16="http://schemas.microsoft.com/office/drawing/2014/main" id="{A0F84714-2F9A-44C2-9207-8F7C240343BA}"/>
            </a:ext>
          </a:extLst>
        </xdr:cNvPr>
        <xdr:cNvSpPr txBox="1">
          <a:spLocks noChangeArrowheads="1"/>
        </xdr:cNvSpPr>
      </xdr:nvSpPr>
      <xdr:spPr bwMode="auto">
        <a:xfrm>
          <a:off x="6657975" y="742950"/>
          <a:ext cx="0" cy="247650"/>
        </a:xfrm>
        <a:prstGeom prst="rect">
          <a:avLst/>
        </a:prstGeom>
        <a:solidFill>
          <a:srgbClr val="FFFFFF"/>
        </a:solidFill>
        <a:ln w="9525">
          <a:solidFill>
            <a:srgbClr val="FFFFFF"/>
          </a:solid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單位：新台幣元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6&#22522;&#37329;&#32113;&#35336;&#24180;&#22577;&#33287;&#25163;&#20874;/0.106&#24180;&#22522;&#37329;&#32113;&#35336;&#24180;&#22577;(&#34920;1-&#34920;57&#21450;&#38468;&#37636;1-9)(&#20840;)1-&#34920;40&#29992;&#20844;&#2433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US/Documents/&#24037;&#20316;/&#22522;&#31649;&#26371;/108&#27770;&#31639;-&#22522;&#37329;/108&#27770;&#31639;&#26360;/3-4-108&#32317;&#35498;&#26126;-&#21443;_&#22235;(&#26412;&#24180;&#24230;&#23526;&#38555;&#36939;&#29992;&#32080;&#26524;&#33287;&#26412;&#22522;&#37329;&#36939;&#29992;&#32068;&#21512;&#35336;&#30059;&#20043;&#27604;&#366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6371;&#35336;&#22577;&#21578;/&#22522;&#37329;&#26376;&#22577;/&#32232;&#35069;&#26376;&#22577;&#29992;/5.&#27511;&#24180;&#36939;&#29992;&#25910;&#30410;&#27010;&#27841;&#34920;&#24460;&#21322;&#37096;-109&#24180;&#65288;&#23492;&#32102;&#36001;&#21209;&#32068;&#29992;&#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7861;&#23450;&#23411;&#24687;&#23395;&#22577;/108/10812/6-1.85-10812_&#23411;&#24687;&#20998;&#37197;&#34920;-&#24050;&#23526;&#29694;&#26410;&#23526;&#296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cuments/&#24037;&#20316;/&#22522;&#31649;&#26371;/A&#32113;&#35336;&#27284;&#26696;/&#32113;&#35336;&#36039;&#26009;/1.&#22522;&#37329;&#32113;&#35336;&#24180;&#22577;/107&#22522;&#37329;&#32113;&#35336;&#24180;&#22577;&#33287;&#25163;&#20874;/0.107&#24180;&#22522;&#37329;&#32113;&#35336;&#24180;&#22577;(&#34920;1-&#34920;57&#21450;&#38468;&#37636;1-9)(&#20840;)-&#23159;9-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08&#33936;&#38598;&#36039;&#26009;&#31805;/0.108&#24180;&#22522;&#37329;&#32113;&#35336;&#24180;&#22577;(&#34920;1-&#34920;57&#21450;&#38468;&#37636;1-9)(&#20840;_&#31354;&#303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7&#22522;&#37329;&#32113;&#35336;&#24180;&#22577;&#33287;&#25163;&#20874;/0.107&#24180;&#22522;&#37329;&#32113;&#35336;&#24180;&#22577;(&#34920;1-&#34920;57&#21450;&#38468;&#37636;1-9)(&#20840;)-&#23159;9-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108&#33936;&#38598;&#36039;&#26009;&#31805;/108&#32068;&#23460;&#22238;&#35206;&#36039;&#26009;/108&#24180;&#22522;&#37329;&#32113;&#35336;&#24180;&#22577;(&#34920;3-38)_&#36039;&#35338;&#23460;2_0416&#65288;&#26356;&#26032;&#34920;5&#12289;2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108&#33936;&#38598;&#36039;&#26009;&#31805;/108&#32068;&#23460;&#22238;&#35206;&#36039;&#26009;/108&#24180;&#22522;&#37329;&#32113;&#35336;&#24180;&#22577;(&#34920;3-38)_&#36039;&#35338;&#23460;4_0421&#65288;&#26356;&#26032;&#34920;11&#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6&#22522;&#37329;&#32113;&#35336;&#24180;&#22577;&#33287;&#25163;&#20874;/0.106&#24180;&#22522;&#37329;&#32113;&#35336;&#24180;&#22577;(&#34920;1-&#34920;57&#21450;&#38468;&#37636;1-9)(&#2084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7&#22522;&#37329;&#32113;&#35336;&#24180;&#22577;&#33287;&#25163;&#20874;/0.107&#24180;&#22522;&#37329;&#32113;&#35336;&#24180;&#22577;(&#34920;1-&#34920;57&#21450;&#38468;&#37636;1-9)(&#2084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108&#33936;&#38598;&#36039;&#26009;&#31805;/&#26989;&#21209;&#32068;&#25552;&#20379;&#24615;&#21029;&#32113;&#35336;&#34920;&#26684;&#26684;&#24335;/108&#24180;&#22522;&#37329;&#32113;&#35336;&#24180;&#22577;(&#34920;10-12&#12289;13-25&#12289;40-42&#12289;49&#22686;&#21152;&#24615;&#21029;&#36039;&#260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機關數"/>
      <sheetName val="2人數"/>
      <sheetName val="3歷年退休"/>
      <sheetName val="4歷年撫卹"/>
      <sheetName val="5歷年離退 "/>
      <sheetName val="6歷年退離(政) "/>
      <sheetName val="7歷年退離(公)"/>
      <sheetName val="8歷年退離(教)"/>
      <sheetName val="9歷年退離(軍)"/>
      <sheetName val="10當年退離(政)"/>
      <sheetName val="11當年退離(公)"/>
      <sheetName val="12當年退離(教)"/>
      <sheetName val="13當年退休"/>
      <sheetName val="14退休(政)"/>
      <sheetName val="15退休(公)"/>
      <sheetName val="16退休(教)"/>
      <sheetName val="17退伍(軍) "/>
      <sheetName val="18當年撫卹(總)"/>
      <sheetName val="19撫卹(政)"/>
      <sheetName val="20撫卹(公) "/>
      <sheetName val="21撫卹(教)"/>
      <sheetName val="22撫卹(軍) "/>
      <sheetName val="23當年離退"/>
      <sheetName val="24退休平均俸額"/>
      <sheetName val="25撫卹平均俸額"/>
      <sheetName val="26參加者平均俸額 "/>
      <sheetName val="27平均俸額(總表) "/>
      <sheetName val="28平均俸額(一次退) "/>
      <sheetName val="29平均俸額(月退)"/>
      <sheetName val="30退休平均年齡"/>
      <sheetName val="31平均年齡(政) "/>
      <sheetName val="32平均年齡(公)"/>
      <sheetName val="33平均年齡(教)"/>
      <sheetName val="34平均年齡(軍)"/>
      <sheetName val="35一次撫慰金人數"/>
      <sheetName val="36配偶平均年齡"/>
      <sheetName val="37父母平均年齡"/>
      <sheetName val="38子女平均年齡"/>
      <sheetName val="39作業收支(累計)"/>
      <sheetName val="40支出(政)(政府別)"/>
      <sheetName val="41支出(公)(政府別)"/>
      <sheetName val="42支出(教)(政府別)"/>
      <sheetName val="43支出(總) "/>
      <sheetName val="44支出(政) "/>
      <sheetName val="45支出(公) "/>
      <sheetName val="46支出(教) "/>
      <sheetName val="47支出(軍) "/>
      <sheetName val="48定撥(歷年)o "/>
      <sheetName val="49定撥(當年度)o"/>
      <sheetName val="50規劃表"/>
      <sheetName val="51規劃比較表"/>
      <sheetName val="52運用收益 (含實際) "/>
      <sheetName val="53平衡表"/>
      <sheetName val="54資產明細"/>
      <sheetName val="55收支表"/>
      <sheetName val="56預決算"/>
      <sheetName val="57委託人權益"/>
      <sheetName val="附錄1提撥進度表"/>
      <sheetName val="精算基礎(1)"/>
      <sheetName val="精算基礎(2)"/>
      <sheetName val="附錄2國內委託經營(彙總)"/>
      <sheetName val="附錄3國外委託經營(彙總) "/>
      <sheetName val="附錄4行政經費"/>
      <sheetName val="附錄5員額配置"/>
      <sheetName val="附錄6教育程度"/>
      <sheetName val="附錄7考試類別"/>
      <sheetName val="附錄8年齡分布"/>
      <sheetName val="附錄9任職年資"/>
    </sheetNames>
    <sheetDataSet>
      <sheetData sheetId="0">
        <row r="10">
          <cell r="B10">
            <v>7856</v>
          </cell>
          <cell r="C10">
            <v>1104</v>
          </cell>
          <cell r="D10">
            <v>698</v>
          </cell>
          <cell r="E10">
            <v>4429</v>
          </cell>
          <cell r="F10">
            <v>1449</v>
          </cell>
          <cell r="G10">
            <v>176</v>
          </cell>
        </row>
        <row r="11">
          <cell r="B11">
            <v>7894</v>
          </cell>
          <cell r="C11">
            <v>1111</v>
          </cell>
          <cell r="D11">
            <v>2118</v>
          </cell>
          <cell r="E11">
            <v>3200</v>
          </cell>
          <cell r="F11">
            <v>1294</v>
          </cell>
          <cell r="G11">
            <v>171</v>
          </cell>
        </row>
        <row r="12">
          <cell r="B12">
            <v>7736</v>
          </cell>
          <cell r="C12">
            <v>1108</v>
          </cell>
          <cell r="D12">
            <v>2495</v>
          </cell>
          <cell r="E12">
            <v>2902</v>
          </cell>
          <cell r="F12">
            <v>1063</v>
          </cell>
          <cell r="G12">
            <v>168</v>
          </cell>
        </row>
        <row r="13">
          <cell r="B13">
            <v>7970</v>
          </cell>
          <cell r="C13">
            <v>1369</v>
          </cell>
          <cell r="D13">
            <v>2493</v>
          </cell>
          <cell r="E13">
            <v>2874</v>
          </cell>
          <cell r="F13">
            <v>1057</v>
          </cell>
          <cell r="G13">
            <v>177</v>
          </cell>
        </row>
        <row r="14">
          <cell r="B14">
            <v>7623</v>
          </cell>
          <cell r="C14">
            <v>1059</v>
          </cell>
          <cell r="D14">
            <v>2513</v>
          </cell>
          <cell r="E14">
            <v>2838</v>
          </cell>
          <cell r="F14">
            <v>1057</v>
          </cell>
          <cell r="G14">
            <v>156</v>
          </cell>
        </row>
        <row r="15">
          <cell r="B15">
            <v>7637</v>
          </cell>
          <cell r="C15">
            <v>1032</v>
          </cell>
          <cell r="D15">
            <v>2543</v>
          </cell>
          <cell r="E15">
            <v>2849</v>
          </cell>
          <cell r="F15">
            <v>1064</v>
          </cell>
          <cell r="G15">
            <v>149</v>
          </cell>
        </row>
        <row r="16">
          <cell r="B16">
            <v>7260</v>
          </cell>
          <cell r="C16">
            <v>971</v>
          </cell>
          <cell r="D16">
            <v>2895</v>
          </cell>
          <cell r="E16">
            <v>2485</v>
          </cell>
          <cell r="F16">
            <v>767</v>
          </cell>
          <cell r="G16">
            <v>142</v>
          </cell>
        </row>
        <row r="17">
          <cell r="B17">
            <v>7265</v>
          </cell>
          <cell r="C17">
            <v>972</v>
          </cell>
          <cell r="D17">
            <v>2895</v>
          </cell>
          <cell r="E17">
            <v>2494</v>
          </cell>
          <cell r="F17">
            <v>760</v>
          </cell>
          <cell r="G17">
            <v>144</v>
          </cell>
        </row>
        <row r="18">
          <cell r="B18">
            <v>7212</v>
          </cell>
          <cell r="C18">
            <v>945</v>
          </cell>
          <cell r="D18">
            <v>2901</v>
          </cell>
          <cell r="E18">
            <v>2472</v>
          </cell>
          <cell r="F18">
            <v>752</v>
          </cell>
          <cell r="G18">
            <v>142</v>
          </cell>
        </row>
      </sheetData>
      <sheetData sheetId="1" refreshError="1"/>
      <sheetData sheetId="2">
        <row r="7">
          <cell r="B7">
            <v>16455</v>
          </cell>
          <cell r="C7">
            <v>16377</v>
          </cell>
          <cell r="D7">
            <v>2641</v>
          </cell>
          <cell r="E7">
            <v>13488</v>
          </cell>
          <cell r="F7">
            <v>248</v>
          </cell>
          <cell r="G7">
            <v>78</v>
          </cell>
        </row>
        <row r="8">
          <cell r="B8">
            <v>21474</v>
          </cell>
          <cell r="C8">
            <v>21397</v>
          </cell>
          <cell r="D8">
            <v>4428</v>
          </cell>
          <cell r="E8">
            <v>16767</v>
          </cell>
          <cell r="F8">
            <v>202</v>
          </cell>
          <cell r="G8">
            <v>77</v>
          </cell>
        </row>
        <row r="9">
          <cell r="B9">
            <v>29083</v>
          </cell>
          <cell r="C9">
            <v>29020</v>
          </cell>
          <cell r="D9">
            <v>9938</v>
          </cell>
          <cell r="E9">
            <v>18960</v>
          </cell>
          <cell r="F9">
            <v>122</v>
          </cell>
          <cell r="G9">
            <v>63</v>
          </cell>
        </row>
        <row r="10">
          <cell r="B10">
            <v>31389</v>
          </cell>
          <cell r="C10">
            <v>31330</v>
          </cell>
          <cell r="D10">
            <v>11638</v>
          </cell>
          <cell r="E10">
            <v>19559</v>
          </cell>
          <cell r="F10">
            <v>133</v>
          </cell>
          <cell r="G10">
            <v>59</v>
          </cell>
        </row>
        <row r="11">
          <cell r="B11">
            <v>32155</v>
          </cell>
          <cell r="C11">
            <v>32107</v>
          </cell>
          <cell r="D11">
            <v>13122</v>
          </cell>
          <cell r="E11">
            <v>18867</v>
          </cell>
          <cell r="F11">
            <v>118</v>
          </cell>
          <cell r="G11">
            <v>48</v>
          </cell>
        </row>
        <row r="12">
          <cell r="B12">
            <v>27034</v>
          </cell>
          <cell r="C12">
            <v>26990</v>
          </cell>
          <cell r="D12">
            <v>9675</v>
          </cell>
          <cell r="E12">
            <v>17207</v>
          </cell>
          <cell r="F12">
            <v>108</v>
          </cell>
          <cell r="G12">
            <v>44</v>
          </cell>
        </row>
        <row r="13">
          <cell r="B13">
            <v>28597</v>
          </cell>
          <cell r="C13">
            <v>28554</v>
          </cell>
          <cell r="D13">
            <v>7008</v>
          </cell>
          <cell r="E13">
            <v>21440</v>
          </cell>
          <cell r="F13">
            <v>106</v>
          </cell>
          <cell r="G13">
            <v>43</v>
          </cell>
        </row>
        <row r="14">
          <cell r="B14">
            <v>27349</v>
          </cell>
          <cell r="C14">
            <v>27304</v>
          </cell>
          <cell r="D14">
            <v>7482</v>
          </cell>
          <cell r="E14">
            <v>19723</v>
          </cell>
          <cell r="F14">
            <v>99</v>
          </cell>
          <cell r="G14">
            <v>45</v>
          </cell>
        </row>
        <row r="15">
          <cell r="B15">
            <v>23327</v>
          </cell>
          <cell r="C15">
            <v>23277</v>
          </cell>
          <cell r="D15">
            <v>8903</v>
          </cell>
          <cell r="E15">
            <v>14274</v>
          </cell>
          <cell r="F15">
            <v>100</v>
          </cell>
          <cell r="G15">
            <v>50</v>
          </cell>
        </row>
      </sheetData>
      <sheetData sheetId="3">
        <row r="7">
          <cell r="B7">
            <v>420</v>
          </cell>
          <cell r="C7">
            <v>345</v>
          </cell>
          <cell r="D7">
            <v>79</v>
          </cell>
          <cell r="E7">
            <v>266</v>
          </cell>
          <cell r="F7">
            <v>75</v>
          </cell>
          <cell r="G7">
            <v>2</v>
          </cell>
          <cell r="H7">
            <v>73</v>
          </cell>
        </row>
        <row r="8">
          <cell r="B8">
            <v>410</v>
          </cell>
          <cell r="C8">
            <v>330</v>
          </cell>
          <cell r="D8">
            <v>84</v>
          </cell>
          <cell r="E8">
            <v>246</v>
          </cell>
          <cell r="F8">
            <v>80</v>
          </cell>
          <cell r="G8">
            <v>1</v>
          </cell>
          <cell r="H8">
            <v>79</v>
          </cell>
        </row>
        <row r="9">
          <cell r="B9">
            <v>394</v>
          </cell>
          <cell r="C9">
            <v>339</v>
          </cell>
          <cell r="D9">
            <v>83</v>
          </cell>
          <cell r="E9">
            <v>256</v>
          </cell>
          <cell r="F9">
            <v>55</v>
          </cell>
          <cell r="G9">
            <v>0</v>
          </cell>
          <cell r="H9">
            <v>55</v>
          </cell>
        </row>
        <row r="10">
          <cell r="B10">
            <v>345</v>
          </cell>
          <cell r="C10">
            <v>300</v>
          </cell>
          <cell r="D10">
            <v>65</v>
          </cell>
          <cell r="E10">
            <v>235</v>
          </cell>
          <cell r="F10">
            <v>45</v>
          </cell>
          <cell r="G10">
            <v>0</v>
          </cell>
          <cell r="H10">
            <v>45</v>
          </cell>
        </row>
        <row r="11">
          <cell r="B11">
            <v>372</v>
          </cell>
          <cell r="C11">
            <v>337</v>
          </cell>
          <cell r="D11">
            <v>82</v>
          </cell>
          <cell r="E11">
            <v>255</v>
          </cell>
          <cell r="F11">
            <v>35</v>
          </cell>
          <cell r="G11">
            <v>0</v>
          </cell>
          <cell r="H11">
            <v>35</v>
          </cell>
        </row>
        <row r="12">
          <cell r="B12">
            <v>369</v>
          </cell>
          <cell r="C12">
            <v>319</v>
          </cell>
          <cell r="D12">
            <v>70</v>
          </cell>
          <cell r="E12">
            <v>249</v>
          </cell>
          <cell r="F12">
            <v>50</v>
          </cell>
          <cell r="G12">
            <v>0</v>
          </cell>
          <cell r="H12">
            <v>50</v>
          </cell>
        </row>
        <row r="13">
          <cell r="B13">
            <v>357</v>
          </cell>
          <cell r="C13">
            <v>326</v>
          </cell>
          <cell r="D13">
            <v>76</v>
          </cell>
          <cell r="E13">
            <v>250</v>
          </cell>
          <cell r="F13">
            <v>31</v>
          </cell>
          <cell r="G13">
            <v>0</v>
          </cell>
          <cell r="H13">
            <v>31</v>
          </cell>
        </row>
        <row r="14">
          <cell r="B14">
            <v>394</v>
          </cell>
          <cell r="C14">
            <v>358</v>
          </cell>
          <cell r="D14">
            <v>86</v>
          </cell>
          <cell r="E14">
            <v>272</v>
          </cell>
          <cell r="F14">
            <v>36</v>
          </cell>
          <cell r="G14">
            <v>0</v>
          </cell>
          <cell r="H14">
            <v>36</v>
          </cell>
        </row>
        <row r="15">
          <cell r="B15">
            <v>380</v>
          </cell>
          <cell r="C15">
            <v>362</v>
          </cell>
          <cell r="D15">
            <v>95</v>
          </cell>
          <cell r="E15">
            <v>267</v>
          </cell>
          <cell r="F15">
            <v>18</v>
          </cell>
          <cell r="G15">
            <v>0</v>
          </cell>
          <cell r="H15">
            <v>18</v>
          </cell>
        </row>
      </sheetData>
      <sheetData sheetId="4">
        <row r="7">
          <cell r="B7">
            <v>1462</v>
          </cell>
        </row>
      </sheetData>
      <sheetData sheetId="5">
        <row r="8">
          <cell r="B8">
            <v>5</v>
          </cell>
          <cell r="C8">
            <v>3</v>
          </cell>
          <cell r="D8">
            <v>1</v>
          </cell>
          <cell r="E8">
            <v>2</v>
          </cell>
          <cell r="F8">
            <v>0</v>
          </cell>
          <cell r="G8">
            <v>1</v>
          </cell>
          <cell r="H8">
            <v>1</v>
          </cell>
          <cell r="I8">
            <v>1</v>
          </cell>
          <cell r="J8">
            <v>0</v>
          </cell>
          <cell r="K8">
            <v>0</v>
          </cell>
          <cell r="L8">
            <v>0</v>
          </cell>
          <cell r="M8">
            <v>0</v>
          </cell>
          <cell r="N8">
            <v>1</v>
          </cell>
        </row>
        <row r="9">
          <cell r="B9">
            <v>3</v>
          </cell>
          <cell r="C9">
            <v>2</v>
          </cell>
          <cell r="D9">
            <v>1</v>
          </cell>
          <cell r="E9">
            <v>0</v>
          </cell>
          <cell r="F9">
            <v>1</v>
          </cell>
          <cell r="G9">
            <v>0</v>
          </cell>
          <cell r="H9">
            <v>0</v>
          </cell>
          <cell r="I9">
            <v>0</v>
          </cell>
          <cell r="J9">
            <v>0</v>
          </cell>
          <cell r="K9">
            <v>0</v>
          </cell>
          <cell r="L9">
            <v>0</v>
          </cell>
          <cell r="M9">
            <v>0</v>
          </cell>
          <cell r="N9">
            <v>1</v>
          </cell>
        </row>
        <row r="10">
          <cell r="B10">
            <v>3</v>
          </cell>
          <cell r="C10">
            <v>3</v>
          </cell>
          <cell r="D10">
            <v>0</v>
          </cell>
          <cell r="E10">
            <v>1</v>
          </cell>
          <cell r="F10">
            <v>2</v>
          </cell>
          <cell r="G10">
            <v>0</v>
          </cell>
          <cell r="H10">
            <v>0</v>
          </cell>
          <cell r="I10">
            <v>0</v>
          </cell>
          <cell r="J10">
            <v>0</v>
          </cell>
          <cell r="K10">
            <v>0</v>
          </cell>
          <cell r="L10">
            <v>0</v>
          </cell>
          <cell r="M10">
            <v>0</v>
          </cell>
          <cell r="N10">
            <v>0</v>
          </cell>
        </row>
        <row r="11">
          <cell r="B11">
            <v>3</v>
          </cell>
          <cell r="C11">
            <v>2</v>
          </cell>
          <cell r="D11">
            <v>0</v>
          </cell>
          <cell r="E11">
            <v>1</v>
          </cell>
          <cell r="F11">
            <v>1</v>
          </cell>
          <cell r="G11">
            <v>0</v>
          </cell>
          <cell r="H11">
            <v>0</v>
          </cell>
          <cell r="I11">
            <v>0</v>
          </cell>
          <cell r="J11">
            <v>0</v>
          </cell>
          <cell r="K11">
            <v>0</v>
          </cell>
          <cell r="L11">
            <v>0</v>
          </cell>
          <cell r="M11">
            <v>0</v>
          </cell>
          <cell r="N11">
            <v>1</v>
          </cell>
        </row>
        <row r="12">
          <cell r="B12">
            <v>0</v>
          </cell>
          <cell r="C12">
            <v>0</v>
          </cell>
          <cell r="D12">
            <v>0</v>
          </cell>
          <cell r="E12">
            <v>0</v>
          </cell>
          <cell r="F12">
            <v>0</v>
          </cell>
          <cell r="G12">
            <v>0</v>
          </cell>
          <cell r="H12">
            <v>0</v>
          </cell>
          <cell r="I12">
            <v>0</v>
          </cell>
          <cell r="J12">
            <v>0</v>
          </cell>
          <cell r="K12">
            <v>0</v>
          </cell>
          <cell r="L12">
            <v>0</v>
          </cell>
          <cell r="M12">
            <v>0</v>
          </cell>
          <cell r="N12">
            <v>0</v>
          </cell>
        </row>
        <row r="13">
          <cell r="B13">
            <v>3</v>
          </cell>
          <cell r="C13">
            <v>2</v>
          </cell>
          <cell r="D13">
            <v>0</v>
          </cell>
          <cell r="E13">
            <v>2</v>
          </cell>
          <cell r="F13">
            <v>0</v>
          </cell>
          <cell r="G13">
            <v>0</v>
          </cell>
          <cell r="H13">
            <v>0</v>
          </cell>
          <cell r="I13">
            <v>0</v>
          </cell>
          <cell r="J13">
            <v>0</v>
          </cell>
          <cell r="K13">
            <v>0</v>
          </cell>
          <cell r="L13">
            <v>0</v>
          </cell>
          <cell r="M13">
            <v>0</v>
          </cell>
          <cell r="N13">
            <v>1</v>
          </cell>
        </row>
        <row r="14">
          <cell r="B14">
            <v>0</v>
          </cell>
          <cell r="C14">
            <v>0</v>
          </cell>
          <cell r="D14">
            <v>0</v>
          </cell>
          <cell r="E14">
            <v>0</v>
          </cell>
          <cell r="F14">
            <v>0</v>
          </cell>
          <cell r="G14">
            <v>0</v>
          </cell>
          <cell r="H14">
            <v>0</v>
          </cell>
          <cell r="I14">
            <v>0</v>
          </cell>
          <cell r="J14">
            <v>0</v>
          </cell>
          <cell r="K14">
            <v>0</v>
          </cell>
          <cell r="L14">
            <v>0</v>
          </cell>
          <cell r="M14">
            <v>0</v>
          </cell>
          <cell r="N14">
            <v>0</v>
          </cell>
        </row>
        <row r="15">
          <cell r="B15">
            <v>0</v>
          </cell>
          <cell r="C15">
            <v>0</v>
          </cell>
          <cell r="D15">
            <v>0</v>
          </cell>
          <cell r="E15">
            <v>0</v>
          </cell>
          <cell r="F15">
            <v>0</v>
          </cell>
          <cell r="G15">
            <v>0</v>
          </cell>
          <cell r="H15">
            <v>0</v>
          </cell>
          <cell r="I15">
            <v>0</v>
          </cell>
          <cell r="J15">
            <v>0</v>
          </cell>
          <cell r="K15">
            <v>0</v>
          </cell>
          <cell r="L15">
            <v>0</v>
          </cell>
          <cell r="M15">
            <v>0</v>
          </cell>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sheetData>
      <sheetData sheetId="6">
        <row r="8">
          <cell r="B8">
            <v>8146</v>
          </cell>
          <cell r="C8">
            <v>7195</v>
          </cell>
          <cell r="D8">
            <v>230</v>
          </cell>
          <cell r="E8">
            <v>6856</v>
          </cell>
          <cell r="F8">
            <v>109</v>
          </cell>
          <cell r="G8">
            <v>42</v>
          </cell>
          <cell r="H8">
            <v>251</v>
          </cell>
          <cell r="I8">
            <v>213</v>
          </cell>
          <cell r="J8">
            <v>49</v>
          </cell>
          <cell r="K8">
            <v>164</v>
          </cell>
          <cell r="L8">
            <v>38</v>
          </cell>
          <cell r="M8">
            <v>2</v>
          </cell>
          <cell r="N8">
            <v>36</v>
          </cell>
          <cell r="O8">
            <v>658</v>
          </cell>
        </row>
        <row r="9">
          <cell r="B9">
            <v>10190</v>
          </cell>
          <cell r="C9">
            <v>9013</v>
          </cell>
          <cell r="D9">
            <v>203</v>
          </cell>
          <cell r="E9">
            <v>8695</v>
          </cell>
          <cell r="F9">
            <v>115</v>
          </cell>
          <cell r="G9">
            <v>47</v>
          </cell>
          <cell r="H9">
            <v>240</v>
          </cell>
          <cell r="I9">
            <v>204</v>
          </cell>
          <cell r="J9">
            <v>45</v>
          </cell>
          <cell r="K9">
            <v>159</v>
          </cell>
          <cell r="L9">
            <v>36</v>
          </cell>
          <cell r="M9">
            <v>1</v>
          </cell>
          <cell r="N9">
            <v>35</v>
          </cell>
          <cell r="O9">
            <v>890</v>
          </cell>
        </row>
        <row r="10">
          <cell r="B10">
            <v>11374</v>
          </cell>
          <cell r="C10">
            <v>10361</v>
          </cell>
          <cell r="D10">
            <v>135</v>
          </cell>
          <cell r="E10">
            <v>10159</v>
          </cell>
          <cell r="F10">
            <v>67</v>
          </cell>
          <cell r="G10">
            <v>19</v>
          </cell>
          <cell r="H10">
            <v>223</v>
          </cell>
          <cell r="I10">
            <v>209</v>
          </cell>
          <cell r="J10">
            <v>43</v>
          </cell>
          <cell r="K10">
            <v>166</v>
          </cell>
          <cell r="L10">
            <v>14</v>
          </cell>
          <cell r="M10">
            <v>0</v>
          </cell>
          <cell r="N10">
            <v>14</v>
          </cell>
          <cell r="O10">
            <v>771</v>
          </cell>
        </row>
        <row r="11">
          <cell r="B11">
            <v>11601</v>
          </cell>
          <cell r="C11">
            <v>10527</v>
          </cell>
          <cell r="D11">
            <v>137</v>
          </cell>
          <cell r="E11">
            <v>10318</v>
          </cell>
          <cell r="F11">
            <v>72</v>
          </cell>
          <cell r="G11">
            <v>26</v>
          </cell>
          <cell r="H11">
            <v>193</v>
          </cell>
          <cell r="I11">
            <v>177</v>
          </cell>
          <cell r="J11">
            <v>36</v>
          </cell>
          <cell r="K11">
            <v>141</v>
          </cell>
          <cell r="L11">
            <v>16</v>
          </cell>
          <cell r="M11">
            <v>0</v>
          </cell>
          <cell r="N11">
            <v>16</v>
          </cell>
          <cell r="O11">
            <v>855</v>
          </cell>
        </row>
        <row r="12">
          <cell r="B12">
            <v>10825</v>
          </cell>
          <cell r="C12">
            <v>9816</v>
          </cell>
          <cell r="D12">
            <v>272</v>
          </cell>
          <cell r="E12">
            <v>9472</v>
          </cell>
          <cell r="F12">
            <v>72</v>
          </cell>
          <cell r="G12">
            <v>21</v>
          </cell>
          <cell r="H12">
            <v>233</v>
          </cell>
          <cell r="I12">
            <v>213</v>
          </cell>
          <cell r="J12">
            <v>45</v>
          </cell>
          <cell r="K12">
            <v>168</v>
          </cell>
          <cell r="L12">
            <v>20</v>
          </cell>
          <cell r="M12">
            <v>0</v>
          </cell>
          <cell r="N12">
            <v>20</v>
          </cell>
          <cell r="O12">
            <v>755</v>
          </cell>
        </row>
        <row r="13">
          <cell r="B13">
            <v>10686</v>
          </cell>
          <cell r="C13">
            <v>9679</v>
          </cell>
          <cell r="D13">
            <v>383</v>
          </cell>
          <cell r="E13">
            <v>9214</v>
          </cell>
          <cell r="F13">
            <v>82</v>
          </cell>
          <cell r="G13">
            <v>18</v>
          </cell>
          <cell r="H13">
            <v>213</v>
          </cell>
          <cell r="I13">
            <v>187</v>
          </cell>
          <cell r="J13">
            <v>36</v>
          </cell>
          <cell r="K13">
            <v>151</v>
          </cell>
          <cell r="L13">
            <v>26</v>
          </cell>
          <cell r="M13">
            <v>0</v>
          </cell>
          <cell r="N13">
            <v>26</v>
          </cell>
          <cell r="O13">
            <v>776</v>
          </cell>
        </row>
        <row r="14">
          <cell r="B14">
            <v>12947</v>
          </cell>
          <cell r="C14">
            <v>11803</v>
          </cell>
          <cell r="D14">
            <v>387</v>
          </cell>
          <cell r="E14">
            <v>11334</v>
          </cell>
          <cell r="F14">
            <v>82</v>
          </cell>
          <cell r="G14">
            <v>14</v>
          </cell>
          <cell r="H14">
            <v>205</v>
          </cell>
          <cell r="I14">
            <v>196</v>
          </cell>
          <cell r="J14">
            <v>44</v>
          </cell>
          <cell r="K14">
            <v>152</v>
          </cell>
          <cell r="L14">
            <v>9</v>
          </cell>
          <cell r="M14">
            <v>0</v>
          </cell>
          <cell r="N14">
            <v>9</v>
          </cell>
          <cell r="O14">
            <v>925</v>
          </cell>
        </row>
        <row r="15">
          <cell r="B15">
            <v>10799</v>
          </cell>
          <cell r="C15">
            <v>9584</v>
          </cell>
          <cell r="D15">
            <v>402</v>
          </cell>
          <cell r="E15">
            <v>9111</v>
          </cell>
          <cell r="F15">
            <v>71</v>
          </cell>
          <cell r="G15">
            <v>12</v>
          </cell>
          <cell r="H15">
            <v>236</v>
          </cell>
          <cell r="I15">
            <v>227</v>
          </cell>
          <cell r="J15">
            <v>58</v>
          </cell>
          <cell r="K15">
            <v>169</v>
          </cell>
          <cell r="L15">
            <v>9</v>
          </cell>
          <cell r="M15">
            <v>0</v>
          </cell>
          <cell r="N15">
            <v>9</v>
          </cell>
          <cell r="O15">
            <v>967</v>
          </cell>
        </row>
        <row r="16">
          <cell r="B16">
            <v>8280</v>
          </cell>
          <cell r="C16">
            <v>6915</v>
          </cell>
          <cell r="D16">
            <v>565</v>
          </cell>
          <cell r="E16">
            <v>6287</v>
          </cell>
          <cell r="F16">
            <v>63</v>
          </cell>
          <cell r="G16">
            <v>12</v>
          </cell>
          <cell r="H16">
            <v>227</v>
          </cell>
          <cell r="I16">
            <v>221</v>
          </cell>
          <cell r="J16">
            <v>69</v>
          </cell>
          <cell r="K16">
            <v>152</v>
          </cell>
          <cell r="L16">
            <v>6</v>
          </cell>
          <cell r="M16">
            <v>0</v>
          </cell>
          <cell r="N16">
            <v>6</v>
          </cell>
          <cell r="O16">
            <v>1126</v>
          </cell>
        </row>
      </sheetData>
      <sheetData sheetId="7">
        <row r="8">
          <cell r="B8">
            <v>4764</v>
          </cell>
          <cell r="C8">
            <v>4317</v>
          </cell>
          <cell r="D8">
            <v>109</v>
          </cell>
          <cell r="E8">
            <v>4069</v>
          </cell>
          <cell r="F8">
            <v>139</v>
          </cell>
          <cell r="G8">
            <v>36</v>
          </cell>
          <cell r="H8">
            <v>98</v>
          </cell>
          <cell r="I8">
            <v>88</v>
          </cell>
          <cell r="J8">
            <v>29</v>
          </cell>
          <cell r="K8">
            <v>59</v>
          </cell>
          <cell r="L8">
            <v>10</v>
          </cell>
          <cell r="M8">
            <v>0</v>
          </cell>
          <cell r="N8">
            <v>10</v>
          </cell>
          <cell r="O8">
            <v>313</v>
          </cell>
        </row>
        <row r="9">
          <cell r="B9">
            <v>5191</v>
          </cell>
          <cell r="C9">
            <v>4780</v>
          </cell>
          <cell r="D9">
            <v>86</v>
          </cell>
          <cell r="E9">
            <v>4608</v>
          </cell>
          <cell r="F9">
            <v>86</v>
          </cell>
          <cell r="G9">
            <v>30</v>
          </cell>
          <cell r="H9">
            <v>105</v>
          </cell>
          <cell r="I9">
            <v>94</v>
          </cell>
          <cell r="J9">
            <v>39</v>
          </cell>
          <cell r="K9">
            <v>55</v>
          </cell>
          <cell r="L9">
            <v>11</v>
          </cell>
          <cell r="M9">
            <v>0</v>
          </cell>
          <cell r="N9">
            <v>11</v>
          </cell>
          <cell r="O9">
            <v>276</v>
          </cell>
        </row>
        <row r="10">
          <cell r="B10">
            <v>6000</v>
          </cell>
          <cell r="C10">
            <v>5560</v>
          </cell>
          <cell r="D10">
            <v>76</v>
          </cell>
          <cell r="E10">
            <v>5431</v>
          </cell>
          <cell r="F10">
            <v>53</v>
          </cell>
          <cell r="G10">
            <v>44</v>
          </cell>
          <cell r="H10">
            <v>99</v>
          </cell>
          <cell r="I10">
            <v>94</v>
          </cell>
          <cell r="J10">
            <v>39</v>
          </cell>
          <cell r="K10">
            <v>55</v>
          </cell>
          <cell r="L10">
            <v>5</v>
          </cell>
          <cell r="M10">
            <v>0</v>
          </cell>
          <cell r="N10">
            <v>5</v>
          </cell>
          <cell r="O10">
            <v>297</v>
          </cell>
        </row>
        <row r="11">
          <cell r="B11">
            <v>6173</v>
          </cell>
          <cell r="C11">
            <v>5774</v>
          </cell>
          <cell r="D11">
            <v>83</v>
          </cell>
          <cell r="E11">
            <v>5631</v>
          </cell>
          <cell r="F11">
            <v>60</v>
          </cell>
          <cell r="G11">
            <v>33</v>
          </cell>
          <cell r="H11">
            <v>88</v>
          </cell>
          <cell r="I11">
            <v>86</v>
          </cell>
          <cell r="J11">
            <v>29</v>
          </cell>
          <cell r="K11">
            <v>57</v>
          </cell>
          <cell r="L11">
            <v>2</v>
          </cell>
          <cell r="M11">
            <v>0</v>
          </cell>
          <cell r="N11">
            <v>2</v>
          </cell>
          <cell r="O11">
            <v>278</v>
          </cell>
        </row>
        <row r="12">
          <cell r="B12">
            <v>5615</v>
          </cell>
          <cell r="C12">
            <v>5213</v>
          </cell>
          <cell r="D12">
            <v>83</v>
          </cell>
          <cell r="E12">
            <v>5084</v>
          </cell>
          <cell r="F12">
            <v>46</v>
          </cell>
          <cell r="G12">
            <v>27</v>
          </cell>
          <cell r="H12">
            <v>99</v>
          </cell>
          <cell r="I12">
            <v>96</v>
          </cell>
          <cell r="J12">
            <v>35</v>
          </cell>
          <cell r="K12">
            <v>61</v>
          </cell>
          <cell r="L12">
            <v>3</v>
          </cell>
          <cell r="M12">
            <v>0</v>
          </cell>
          <cell r="N12">
            <v>3</v>
          </cell>
          <cell r="O12">
            <v>276</v>
          </cell>
        </row>
        <row r="13">
          <cell r="B13">
            <v>5380</v>
          </cell>
          <cell r="C13">
            <v>5014</v>
          </cell>
          <cell r="D13">
            <v>82</v>
          </cell>
          <cell r="E13">
            <v>4906</v>
          </cell>
          <cell r="F13">
            <v>26</v>
          </cell>
          <cell r="G13">
            <v>26</v>
          </cell>
          <cell r="H13">
            <v>107</v>
          </cell>
          <cell r="I13">
            <v>104</v>
          </cell>
          <cell r="J13">
            <v>32</v>
          </cell>
          <cell r="K13">
            <v>72</v>
          </cell>
          <cell r="L13">
            <v>3</v>
          </cell>
          <cell r="M13">
            <v>0</v>
          </cell>
          <cell r="N13">
            <v>3</v>
          </cell>
          <cell r="O13">
            <v>233</v>
          </cell>
        </row>
        <row r="14">
          <cell r="B14">
            <v>6719</v>
          </cell>
          <cell r="C14">
            <v>6371</v>
          </cell>
          <cell r="D14">
            <v>69</v>
          </cell>
          <cell r="E14">
            <v>6278</v>
          </cell>
          <cell r="F14">
            <v>24</v>
          </cell>
          <cell r="G14">
            <v>29</v>
          </cell>
          <cell r="H14">
            <v>101</v>
          </cell>
          <cell r="I14">
            <v>97</v>
          </cell>
          <cell r="J14">
            <v>31</v>
          </cell>
          <cell r="K14">
            <v>66</v>
          </cell>
          <cell r="L14">
            <v>4</v>
          </cell>
          <cell r="M14">
            <v>0</v>
          </cell>
          <cell r="N14">
            <v>4</v>
          </cell>
          <cell r="O14">
            <v>218</v>
          </cell>
        </row>
        <row r="15">
          <cell r="B15">
            <v>7063</v>
          </cell>
          <cell r="C15">
            <v>6728</v>
          </cell>
          <cell r="D15">
            <v>83</v>
          </cell>
          <cell r="E15">
            <v>6617</v>
          </cell>
          <cell r="F15">
            <v>28</v>
          </cell>
          <cell r="G15">
            <v>33</v>
          </cell>
          <cell r="H15">
            <v>83</v>
          </cell>
          <cell r="I15">
            <v>81</v>
          </cell>
          <cell r="J15">
            <v>26</v>
          </cell>
          <cell r="K15">
            <v>55</v>
          </cell>
          <cell r="L15">
            <v>2</v>
          </cell>
          <cell r="M15">
            <v>0</v>
          </cell>
          <cell r="N15">
            <v>2</v>
          </cell>
          <cell r="O15">
            <v>219</v>
          </cell>
        </row>
        <row r="16">
          <cell r="B16">
            <v>6040</v>
          </cell>
          <cell r="C16">
            <v>5621</v>
          </cell>
          <cell r="D16">
            <v>111</v>
          </cell>
          <cell r="E16">
            <v>5473</v>
          </cell>
          <cell r="F16">
            <v>37</v>
          </cell>
          <cell r="G16">
            <v>38</v>
          </cell>
          <cell r="H16">
            <v>92</v>
          </cell>
          <cell r="I16">
            <v>89</v>
          </cell>
          <cell r="J16">
            <v>25</v>
          </cell>
          <cell r="K16">
            <v>64</v>
          </cell>
          <cell r="L16">
            <v>3</v>
          </cell>
          <cell r="M16">
            <v>0</v>
          </cell>
          <cell r="N16">
            <v>3</v>
          </cell>
          <cell r="O16">
            <v>289</v>
          </cell>
        </row>
      </sheetData>
      <sheetData sheetId="8">
        <row r="8">
          <cell r="B8">
            <v>5422</v>
          </cell>
          <cell r="C8">
            <v>4862</v>
          </cell>
          <cell r="D8">
            <v>2301</v>
          </cell>
          <cell r="E8">
            <v>2561</v>
          </cell>
          <cell r="F8">
            <v>70</v>
          </cell>
          <cell r="G8">
            <v>43</v>
          </cell>
          <cell r="H8">
            <v>0</v>
          </cell>
          <cell r="I8">
            <v>43</v>
          </cell>
          <cell r="J8">
            <v>27</v>
          </cell>
          <cell r="K8">
            <v>0</v>
          </cell>
          <cell r="L8">
            <v>27</v>
          </cell>
          <cell r="M8">
            <v>490</v>
          </cell>
        </row>
        <row r="9">
          <cell r="B9">
            <v>9430</v>
          </cell>
          <cell r="C9">
            <v>7602</v>
          </cell>
          <cell r="D9">
            <v>4138</v>
          </cell>
          <cell r="E9">
            <v>3464</v>
          </cell>
          <cell r="F9">
            <v>65</v>
          </cell>
          <cell r="G9">
            <v>32</v>
          </cell>
          <cell r="H9">
            <v>0</v>
          </cell>
          <cell r="I9">
            <v>32</v>
          </cell>
          <cell r="J9">
            <v>33</v>
          </cell>
          <cell r="K9">
            <v>0</v>
          </cell>
          <cell r="L9">
            <v>33</v>
          </cell>
          <cell r="M9">
            <v>1763</v>
          </cell>
        </row>
        <row r="10">
          <cell r="B10">
            <v>15252</v>
          </cell>
          <cell r="C10">
            <v>13096</v>
          </cell>
          <cell r="D10">
            <v>9727</v>
          </cell>
          <cell r="E10">
            <v>3369</v>
          </cell>
          <cell r="F10">
            <v>72</v>
          </cell>
          <cell r="G10">
            <v>36</v>
          </cell>
          <cell r="H10">
            <v>1</v>
          </cell>
          <cell r="I10">
            <v>35</v>
          </cell>
          <cell r="J10">
            <v>36</v>
          </cell>
          <cell r="K10">
            <v>0</v>
          </cell>
          <cell r="L10">
            <v>36</v>
          </cell>
          <cell r="M10">
            <v>2084</v>
          </cell>
        </row>
        <row r="11">
          <cell r="B11">
            <v>16133</v>
          </cell>
          <cell r="C11">
            <v>15027</v>
          </cell>
          <cell r="D11">
            <v>11418</v>
          </cell>
          <cell r="E11">
            <v>3609</v>
          </cell>
          <cell r="F11">
            <v>64</v>
          </cell>
          <cell r="G11">
            <v>37</v>
          </cell>
          <cell r="H11">
            <v>0</v>
          </cell>
          <cell r="I11">
            <v>37</v>
          </cell>
          <cell r="J11">
            <v>27</v>
          </cell>
          <cell r="K11">
            <v>0</v>
          </cell>
          <cell r="L11">
            <v>27</v>
          </cell>
          <cell r="M11">
            <v>1042</v>
          </cell>
        </row>
        <row r="12">
          <cell r="B12">
            <v>18094</v>
          </cell>
          <cell r="C12">
            <v>17078</v>
          </cell>
          <cell r="D12">
            <v>12767</v>
          </cell>
          <cell r="E12">
            <v>4311</v>
          </cell>
          <cell r="F12">
            <v>40</v>
          </cell>
          <cell r="G12">
            <v>28</v>
          </cell>
          <cell r="H12">
            <v>2</v>
          </cell>
          <cell r="I12">
            <v>26</v>
          </cell>
          <cell r="J12">
            <v>12</v>
          </cell>
          <cell r="K12">
            <v>0</v>
          </cell>
          <cell r="L12">
            <v>12</v>
          </cell>
          <cell r="M12">
            <v>976</v>
          </cell>
        </row>
        <row r="13">
          <cell r="B13">
            <v>13322</v>
          </cell>
          <cell r="C13">
            <v>12295</v>
          </cell>
          <cell r="D13">
            <v>9210</v>
          </cell>
          <cell r="E13">
            <v>3085</v>
          </cell>
          <cell r="F13">
            <v>49</v>
          </cell>
          <cell r="G13">
            <v>28</v>
          </cell>
          <cell r="H13">
            <v>2</v>
          </cell>
          <cell r="I13">
            <v>26</v>
          </cell>
          <cell r="J13">
            <v>21</v>
          </cell>
          <cell r="K13">
            <v>0</v>
          </cell>
          <cell r="L13">
            <v>21</v>
          </cell>
          <cell r="M13">
            <v>978</v>
          </cell>
        </row>
        <row r="14">
          <cell r="B14">
            <v>12183</v>
          </cell>
          <cell r="C14">
            <v>10380</v>
          </cell>
          <cell r="D14">
            <v>6552</v>
          </cell>
          <cell r="E14">
            <v>3828</v>
          </cell>
          <cell r="F14">
            <v>51</v>
          </cell>
          <cell r="G14">
            <v>33</v>
          </cell>
          <cell r="H14">
            <v>1</v>
          </cell>
          <cell r="I14">
            <v>32</v>
          </cell>
          <cell r="J14">
            <v>18</v>
          </cell>
          <cell r="K14">
            <v>0</v>
          </cell>
          <cell r="L14">
            <v>18</v>
          </cell>
          <cell r="M14">
            <v>1752</v>
          </cell>
        </row>
        <row r="15">
          <cell r="B15">
            <v>14396</v>
          </cell>
          <cell r="C15">
            <v>10992</v>
          </cell>
          <cell r="D15">
            <v>6997</v>
          </cell>
          <cell r="E15">
            <v>3995</v>
          </cell>
          <cell r="F15">
            <v>75</v>
          </cell>
          <cell r="G15">
            <v>50</v>
          </cell>
          <cell r="H15">
            <v>2</v>
          </cell>
          <cell r="I15">
            <v>48</v>
          </cell>
          <cell r="J15">
            <v>25</v>
          </cell>
          <cell r="K15">
            <v>0</v>
          </cell>
          <cell r="L15">
            <v>25</v>
          </cell>
          <cell r="M15">
            <v>3329</v>
          </cell>
        </row>
        <row r="16">
          <cell r="B16">
            <v>14051</v>
          </cell>
          <cell r="C16">
            <v>10741</v>
          </cell>
          <cell r="D16">
            <v>8227</v>
          </cell>
          <cell r="E16">
            <v>2514</v>
          </cell>
          <cell r="F16">
            <v>61</v>
          </cell>
          <cell r="G16">
            <v>52</v>
          </cell>
          <cell r="H16">
            <v>1</v>
          </cell>
          <cell r="I16">
            <v>51</v>
          </cell>
          <cell r="J16">
            <v>9</v>
          </cell>
          <cell r="K16">
            <v>0</v>
          </cell>
          <cell r="L16">
            <v>9</v>
          </cell>
          <cell r="M16">
            <v>3249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v>0</v>
          </cell>
          <cell r="C6">
            <v>0</v>
          </cell>
          <cell r="D6">
            <v>31061</v>
          </cell>
          <cell r="E6">
            <v>42.51</v>
          </cell>
          <cell r="F6">
            <v>36022</v>
          </cell>
          <cell r="G6">
            <v>40.409999999999997</v>
          </cell>
          <cell r="H6">
            <v>21488</v>
          </cell>
          <cell r="I6">
            <v>28.4</v>
          </cell>
        </row>
        <row r="7">
          <cell r="B7">
            <v>0</v>
          </cell>
          <cell r="C7">
            <v>0</v>
          </cell>
          <cell r="D7">
            <v>31222.597600000001</v>
          </cell>
          <cell r="E7">
            <v>42.575099999999999</v>
          </cell>
          <cell r="F7">
            <v>36617.0769</v>
          </cell>
          <cell r="G7">
            <v>40.911700000000003</v>
          </cell>
          <cell r="H7">
            <v>20900.263299999999</v>
          </cell>
          <cell r="I7">
            <v>28.207999999999998</v>
          </cell>
        </row>
        <row r="8">
          <cell r="B8">
            <v>0</v>
          </cell>
          <cell r="C8">
            <v>0</v>
          </cell>
          <cell r="D8">
            <v>32279.4146772313</v>
          </cell>
          <cell r="E8">
            <v>42.569002538245201</v>
          </cell>
          <cell r="F8">
            <v>38318.1685655541</v>
          </cell>
          <cell r="G8">
            <v>41.310098371130699</v>
          </cell>
          <cell r="H8">
            <v>21937.7458718241</v>
          </cell>
          <cell r="I8">
            <v>28.574602281306198</v>
          </cell>
        </row>
        <row r="9">
          <cell r="B9">
            <v>0</v>
          </cell>
          <cell r="C9">
            <v>0</v>
          </cell>
          <cell r="D9">
            <v>32293</v>
          </cell>
          <cell r="E9">
            <v>42.5</v>
          </cell>
          <cell r="F9">
            <v>38749</v>
          </cell>
          <cell r="G9">
            <v>41.63</v>
          </cell>
          <cell r="H9">
            <v>22161</v>
          </cell>
          <cell r="I9">
            <v>28.88</v>
          </cell>
        </row>
        <row r="10">
          <cell r="B10">
            <v>0</v>
          </cell>
          <cell r="C10">
            <v>0</v>
          </cell>
          <cell r="D10">
            <v>32346.592361564799</v>
          </cell>
          <cell r="E10">
            <v>42.498111319830102</v>
          </cell>
          <cell r="F10">
            <v>39244.2719335195</v>
          </cell>
          <cell r="G10">
            <v>42.029199623499103</v>
          </cell>
          <cell r="H10">
            <v>22179.036985422601</v>
          </cell>
          <cell r="I10">
            <v>29.010477728375399</v>
          </cell>
        </row>
        <row r="11">
          <cell r="B11">
            <v>0</v>
          </cell>
          <cell r="C11">
            <v>0</v>
          </cell>
          <cell r="D11">
            <v>32571.4643099768</v>
          </cell>
          <cell r="E11">
            <v>42.7766800122766</v>
          </cell>
          <cell r="F11">
            <v>39736.518725369897</v>
          </cell>
          <cell r="G11">
            <v>42.437967481796598</v>
          </cell>
          <cell r="H11">
            <v>21510.350906555101</v>
          </cell>
          <cell r="I11">
            <v>28.737880055788001</v>
          </cell>
        </row>
        <row r="12">
          <cell r="B12">
            <v>0</v>
          </cell>
          <cell r="C12">
            <v>0</v>
          </cell>
          <cell r="D12">
            <v>32611.607766922902</v>
          </cell>
          <cell r="E12">
            <v>42.722448767113796</v>
          </cell>
          <cell r="F12">
            <v>40222.372829785301</v>
          </cell>
          <cell r="G12">
            <v>42.807137300969899</v>
          </cell>
          <cell r="H12">
            <v>20629.185359516399</v>
          </cell>
          <cell r="I12">
            <v>28.354130488712499</v>
          </cell>
        </row>
        <row r="13">
          <cell r="B13">
            <v>0</v>
          </cell>
          <cell r="C13">
            <v>0</v>
          </cell>
          <cell r="D13">
            <v>32614.0124549623</v>
          </cell>
          <cell r="E13">
            <v>41.694576800990298</v>
          </cell>
          <cell r="F13">
            <v>40693.256342651097</v>
          </cell>
          <cell r="G13">
            <v>42.181457666334801</v>
          </cell>
          <cell r="H13">
            <v>20123.6225210021</v>
          </cell>
          <cell r="I13">
            <v>27.225711937461199</v>
          </cell>
        </row>
        <row r="14">
          <cell r="B14">
            <v>0</v>
          </cell>
          <cell r="C14">
            <v>0</v>
          </cell>
          <cell r="D14">
            <v>32598.5666964292</v>
          </cell>
          <cell r="E14">
            <v>42.770994499614901</v>
          </cell>
          <cell r="F14">
            <v>41195.784619580001</v>
          </cell>
          <cell r="G14">
            <v>43.638854649577297</v>
          </cell>
          <cell r="H14">
            <v>20108.498925340398</v>
          </cell>
          <cell r="I14">
            <v>28.432333396971199</v>
          </cell>
        </row>
      </sheetData>
      <sheetData sheetId="26">
        <row r="7">
          <cell r="B7">
            <v>78813</v>
          </cell>
          <cell r="C7">
            <v>59.67</v>
          </cell>
          <cell r="D7">
            <v>37502</v>
          </cell>
          <cell r="E7">
            <v>55.25</v>
          </cell>
          <cell r="F7">
            <v>45453</v>
          </cell>
          <cell r="G7">
            <v>54.17</v>
          </cell>
          <cell r="H7">
            <v>30272</v>
          </cell>
          <cell r="I7">
            <v>35.99</v>
          </cell>
        </row>
        <row r="8">
          <cell r="B8">
            <v>71980</v>
          </cell>
          <cell r="C8">
            <v>55</v>
          </cell>
          <cell r="D8">
            <v>37827.567999999999</v>
          </cell>
          <cell r="E8">
            <v>55.1629</v>
          </cell>
          <cell r="F8">
            <v>45471.904799999997</v>
          </cell>
          <cell r="G8">
            <v>53.963799999999999</v>
          </cell>
          <cell r="H8">
            <v>27389.948700000001</v>
          </cell>
          <cell r="I8">
            <v>34.3249</v>
          </cell>
        </row>
        <row r="9">
          <cell r="B9">
            <v>95250</v>
          </cell>
          <cell r="C9">
            <v>63</v>
          </cell>
          <cell r="D9">
            <v>38460.474900000001</v>
          </cell>
          <cell r="E9">
            <v>55.196199999999997</v>
          </cell>
          <cell r="F9">
            <v>46620.086300000003</v>
          </cell>
          <cell r="G9">
            <v>53.987099999999998</v>
          </cell>
          <cell r="H9">
            <v>21755.929499999998</v>
          </cell>
          <cell r="I9">
            <v>29.910399999999999</v>
          </cell>
        </row>
        <row r="10">
          <cell r="B10">
            <v>95250</v>
          </cell>
          <cell r="C10">
            <v>67.5</v>
          </cell>
          <cell r="D10">
            <v>38955</v>
          </cell>
          <cell r="E10">
            <v>55.29</v>
          </cell>
          <cell r="F10">
            <v>47068</v>
          </cell>
          <cell r="G10">
            <v>54.03</v>
          </cell>
          <cell r="H10">
            <v>21398.504026086401</v>
          </cell>
          <cell r="I10">
            <v>29.657416650029901</v>
          </cell>
        </row>
        <row r="11">
          <cell r="B11">
            <v>0</v>
          </cell>
          <cell r="C11">
            <v>0</v>
          </cell>
          <cell r="D11">
            <v>38633.926752241197</v>
          </cell>
          <cell r="E11">
            <v>55.4429502852486</v>
          </cell>
          <cell r="F11">
            <v>47153.2083253405</v>
          </cell>
          <cell r="G11">
            <v>54.011893343564203</v>
          </cell>
          <cell r="H11">
            <v>21679.472127883801</v>
          </cell>
          <cell r="I11">
            <v>30.017566459772802</v>
          </cell>
        </row>
        <row r="12">
          <cell r="B12">
            <v>95250</v>
          </cell>
          <cell r="C12">
            <v>69</v>
          </cell>
          <cell r="D12">
            <v>38805.8466783759</v>
          </cell>
          <cell r="E12">
            <v>55.612563281330701</v>
          </cell>
          <cell r="F12">
            <v>47260.851615476698</v>
          </cell>
          <cell r="G12">
            <v>54.045073793378499</v>
          </cell>
          <cell r="H12">
            <v>21947.078080520499</v>
          </cell>
          <cell r="I12">
            <v>30.210166734444901</v>
          </cell>
        </row>
        <row r="13">
          <cell r="B13">
            <v>0</v>
          </cell>
          <cell r="C13">
            <v>0</v>
          </cell>
          <cell r="D13">
            <v>38736.519105312203</v>
          </cell>
          <cell r="E13">
            <v>55.724476827925102</v>
          </cell>
          <cell r="F13">
            <v>47427.632239836799</v>
          </cell>
          <cell r="G13">
            <v>54.014597394443598</v>
          </cell>
          <cell r="H13">
            <v>25282.658477842</v>
          </cell>
          <cell r="I13">
            <v>32.719556840077097</v>
          </cell>
        </row>
        <row r="14">
          <cell r="B14">
            <v>0</v>
          </cell>
          <cell r="C14">
            <v>0</v>
          </cell>
          <cell r="D14">
            <v>38694.706281302198</v>
          </cell>
          <cell r="E14">
            <v>56.612166110183601</v>
          </cell>
          <cell r="F14">
            <v>47504.806777645703</v>
          </cell>
          <cell r="G14">
            <v>53.991973840665899</v>
          </cell>
          <cell r="H14">
            <v>24813.8177765648</v>
          </cell>
          <cell r="I14">
            <v>32.426491994177603</v>
          </cell>
        </row>
        <row r="15">
          <cell r="B15">
            <v>0</v>
          </cell>
          <cell r="C15">
            <v>0</v>
          </cell>
          <cell r="D15">
            <v>38680.7838033261</v>
          </cell>
          <cell r="E15">
            <v>56.990600144613097</v>
          </cell>
          <cell r="F15">
            <v>47648.106208859601</v>
          </cell>
          <cell r="G15">
            <v>54.319338196050502</v>
          </cell>
          <cell r="H15">
            <v>22106.345777860501</v>
          </cell>
          <cell r="I15">
            <v>30.531421655339301</v>
          </cell>
        </row>
      </sheetData>
      <sheetData sheetId="27">
        <row r="7">
          <cell r="B7">
            <v>51480</v>
          </cell>
          <cell r="C7">
            <v>45</v>
          </cell>
          <cell r="D7">
            <v>34744</v>
          </cell>
          <cell r="E7">
            <v>56.43</v>
          </cell>
          <cell r="F7">
            <v>44877</v>
          </cell>
          <cell r="G7">
            <v>57.73</v>
          </cell>
          <cell r="H7">
            <v>20644</v>
          </cell>
          <cell r="I7">
            <v>27.35</v>
          </cell>
        </row>
        <row r="8">
          <cell r="B8">
            <v>51480</v>
          </cell>
          <cell r="C8">
            <v>44</v>
          </cell>
          <cell r="D8">
            <v>34863.67</v>
          </cell>
          <cell r="E8">
            <v>55.103400000000001</v>
          </cell>
          <cell r="F8">
            <v>45567.965100000001</v>
          </cell>
          <cell r="G8">
            <v>56.186</v>
          </cell>
          <cell r="H8">
            <v>17912.7513</v>
          </cell>
          <cell r="I8">
            <v>26.206099999999999</v>
          </cell>
        </row>
        <row r="9">
          <cell r="B9">
            <v>0</v>
          </cell>
          <cell r="C9">
            <v>0</v>
          </cell>
          <cell r="D9">
            <v>36174.074099999998</v>
          </cell>
          <cell r="E9">
            <v>54.822200000000002</v>
          </cell>
          <cell r="F9">
            <v>46242.039499999999</v>
          </cell>
          <cell r="G9">
            <v>57.315800000000003</v>
          </cell>
          <cell r="H9">
            <v>15732.010899999999</v>
          </cell>
          <cell r="I9">
            <v>25.163499999999999</v>
          </cell>
        </row>
        <row r="10">
          <cell r="B10">
            <v>0</v>
          </cell>
          <cell r="C10">
            <v>0</v>
          </cell>
          <cell r="D10">
            <v>36267.846715328502</v>
          </cell>
          <cell r="E10">
            <v>55.401459854014597</v>
          </cell>
          <cell r="F10">
            <v>46053.795180722896</v>
          </cell>
          <cell r="G10">
            <v>57.397590361445801</v>
          </cell>
          <cell r="H10">
            <v>15857.9344018217</v>
          </cell>
          <cell r="I10">
            <v>25.3034682080925</v>
          </cell>
        </row>
        <row r="11">
          <cell r="B11">
            <v>0</v>
          </cell>
          <cell r="C11">
            <v>0</v>
          </cell>
          <cell r="D11">
            <v>35639.7977941176</v>
          </cell>
          <cell r="E11">
            <v>53.511029411764703</v>
          </cell>
          <cell r="F11">
            <v>47249.457831325301</v>
          </cell>
          <cell r="G11">
            <v>58.240963855421697</v>
          </cell>
          <cell r="H11">
            <v>15954.652228401301</v>
          </cell>
          <cell r="I11">
            <v>25.684029137620399</v>
          </cell>
        </row>
        <row r="12">
          <cell r="B12">
            <v>0</v>
          </cell>
          <cell r="C12">
            <v>0</v>
          </cell>
          <cell r="D12">
            <v>37397.467362924297</v>
          </cell>
          <cell r="E12">
            <v>50.926892950391597</v>
          </cell>
          <cell r="F12">
            <v>47763.475609756097</v>
          </cell>
          <cell r="G12">
            <v>58.0731707317073</v>
          </cell>
          <cell r="H12">
            <v>16094.376764386499</v>
          </cell>
          <cell r="I12">
            <v>25.781758957654699</v>
          </cell>
        </row>
        <row r="13">
          <cell r="B13">
            <v>0</v>
          </cell>
          <cell r="C13">
            <v>0</v>
          </cell>
          <cell r="D13">
            <v>37054.237726098203</v>
          </cell>
          <cell r="E13">
            <v>50.832041343669303</v>
          </cell>
          <cell r="F13">
            <v>47824.565217391297</v>
          </cell>
          <cell r="G13">
            <v>57.985507246376798</v>
          </cell>
          <cell r="H13">
            <v>17780.236568986598</v>
          </cell>
          <cell r="I13">
            <v>26.730006105006101</v>
          </cell>
        </row>
        <row r="14">
          <cell r="B14">
            <v>0</v>
          </cell>
          <cell r="C14">
            <v>0</v>
          </cell>
          <cell r="D14">
            <v>37259.440298507499</v>
          </cell>
          <cell r="E14">
            <v>51.405472636815901</v>
          </cell>
          <cell r="F14">
            <v>47454.397590361397</v>
          </cell>
          <cell r="G14">
            <v>58.819277108433702</v>
          </cell>
          <cell r="H14">
            <v>17438.198513648698</v>
          </cell>
          <cell r="I14">
            <v>26.732170930398699</v>
          </cell>
        </row>
        <row r="15">
          <cell r="B15">
            <v>0</v>
          </cell>
          <cell r="C15">
            <v>0</v>
          </cell>
          <cell r="D15">
            <v>38146.982300885</v>
          </cell>
          <cell r="E15">
            <v>50.184070796460198</v>
          </cell>
          <cell r="F15">
            <v>47942.387387387404</v>
          </cell>
          <cell r="G15">
            <v>56.369369369369402</v>
          </cell>
          <cell r="H15">
            <v>17115.921356509101</v>
          </cell>
          <cell r="I15">
            <v>26.810866658563299</v>
          </cell>
        </row>
      </sheetData>
      <sheetData sheetId="28">
        <row r="7">
          <cell r="B7">
            <v>92480</v>
          </cell>
          <cell r="C7">
            <v>67</v>
          </cell>
          <cell r="D7">
            <v>37593</v>
          </cell>
          <cell r="E7">
            <v>55.21</v>
          </cell>
          <cell r="F7">
            <v>45467</v>
          </cell>
          <cell r="G7">
            <v>54.08</v>
          </cell>
          <cell r="H7">
            <v>38930</v>
          </cell>
          <cell r="I7">
            <v>43.76</v>
          </cell>
        </row>
        <row r="8">
          <cell r="B8">
            <v>92480</v>
          </cell>
          <cell r="C8">
            <v>66</v>
          </cell>
          <cell r="D8">
            <v>37895.862099999998</v>
          </cell>
          <cell r="E8">
            <v>55.164200000000001</v>
          </cell>
          <cell r="F8">
            <v>45470.144899999999</v>
          </cell>
          <cell r="G8">
            <v>53.923099999999998</v>
          </cell>
          <cell r="H8">
            <v>38727.515200000002</v>
          </cell>
          <cell r="I8">
            <v>44.037300000000002</v>
          </cell>
        </row>
        <row r="9">
          <cell r="B9">
            <v>95250</v>
          </cell>
          <cell r="C9">
            <v>63</v>
          </cell>
          <cell r="D9">
            <v>38490.659099999997</v>
          </cell>
          <cell r="E9">
            <v>55.2012</v>
          </cell>
          <cell r="F9">
            <v>46625.325499999999</v>
          </cell>
          <cell r="G9">
            <v>53.940899999999999</v>
          </cell>
          <cell r="H9">
            <v>39189.626600000003</v>
          </cell>
          <cell r="I9">
            <v>43.648299999999999</v>
          </cell>
        </row>
        <row r="10">
          <cell r="B10">
            <v>95250</v>
          </cell>
          <cell r="C10">
            <v>67.5</v>
          </cell>
          <cell r="D10">
            <v>38990.0216554379</v>
          </cell>
          <cell r="E10">
            <v>55.292685274302201</v>
          </cell>
          <cell r="F10">
            <v>47082.919522052398</v>
          </cell>
          <cell r="G10">
            <v>53.978738358812201</v>
          </cell>
          <cell r="H10">
            <v>38927.5214740925</v>
          </cell>
          <cell r="I10">
            <v>43.432252701579401</v>
          </cell>
        </row>
        <row r="11">
          <cell r="B11">
            <v>0</v>
          </cell>
          <cell r="C11">
            <v>0</v>
          </cell>
          <cell r="D11">
            <v>38719.258172673901</v>
          </cell>
          <cell r="E11">
            <v>55.498009220452602</v>
          </cell>
          <cell r="F11">
            <v>47151.651072124798</v>
          </cell>
          <cell r="G11">
            <v>53.943469785574997</v>
          </cell>
          <cell r="H11">
            <v>38633.4910693575</v>
          </cell>
          <cell r="I11">
            <v>42.8513106007887</v>
          </cell>
        </row>
        <row r="12">
          <cell r="B12">
            <v>95250</v>
          </cell>
          <cell r="C12">
            <v>69</v>
          </cell>
          <cell r="D12">
            <v>38863.872633390703</v>
          </cell>
          <cell r="E12">
            <v>55.8056153184165</v>
          </cell>
          <cell r="F12">
            <v>47252.4949310624</v>
          </cell>
          <cell r="G12">
            <v>53.978102189780998</v>
          </cell>
          <cell r="H12">
            <v>39419.810372771499</v>
          </cell>
          <cell r="I12">
            <v>43.430794165316001</v>
          </cell>
        </row>
        <row r="13">
          <cell r="B13">
            <v>0</v>
          </cell>
          <cell r="C13">
            <v>0</v>
          </cell>
          <cell r="D13">
            <v>38793.548090399403</v>
          </cell>
          <cell r="E13">
            <v>55.890329362298502</v>
          </cell>
          <cell r="F13">
            <v>47423.2862583307</v>
          </cell>
          <cell r="G13">
            <v>53.971120279276398</v>
          </cell>
          <cell r="H13">
            <v>38123.794409613402</v>
          </cell>
          <cell r="I13">
            <v>42.971264367816097</v>
          </cell>
        </row>
        <row r="14">
          <cell r="B14">
            <v>0</v>
          </cell>
          <cell r="C14">
            <v>0</v>
          </cell>
          <cell r="D14">
            <v>38757.544108037502</v>
          </cell>
          <cell r="E14">
            <v>56.840121977782601</v>
          </cell>
          <cell r="F14">
            <v>47505.436418359699</v>
          </cell>
          <cell r="G14">
            <v>53.931677953348398</v>
          </cell>
          <cell r="H14">
            <v>37731.767209011297</v>
          </cell>
          <cell r="I14">
            <v>42.399749687108901</v>
          </cell>
        </row>
        <row r="15">
          <cell r="B15">
            <v>0</v>
          </cell>
          <cell r="C15">
            <v>0</v>
          </cell>
          <cell r="D15">
            <v>38728.279527559098</v>
          </cell>
          <cell r="E15">
            <v>57.596220472440898</v>
          </cell>
          <cell r="F15">
            <v>47642.177858439201</v>
          </cell>
          <cell r="G15">
            <v>54.278039927404699</v>
          </cell>
          <cell r="H15">
            <v>38437.3806682578</v>
          </cell>
          <cell r="I15">
            <v>42.7068416865553</v>
          </cell>
        </row>
      </sheetData>
      <sheetData sheetId="29">
        <row r="7">
          <cell r="B7">
            <v>49.22</v>
          </cell>
          <cell r="C7">
            <v>49.25</v>
          </cell>
          <cell r="D7">
            <v>31.14</v>
          </cell>
          <cell r="E7">
            <v>52.62</v>
          </cell>
          <cell r="F7">
            <v>58.62</v>
          </cell>
          <cell r="G7">
            <v>43.18</v>
          </cell>
        </row>
        <row r="8">
          <cell r="B8">
            <v>47.482145418976202</v>
          </cell>
          <cell r="C8">
            <v>47.496191099476441</v>
          </cell>
          <cell r="D8">
            <v>28.1172</v>
          </cell>
          <cell r="E8">
            <v>52.468899999999998</v>
          </cell>
          <cell r="F8">
            <v>59.505000000000003</v>
          </cell>
          <cell r="G8">
            <v>43.584400000000002</v>
          </cell>
        </row>
        <row r="9">
          <cell r="B9">
            <v>43.558211521926054</v>
          </cell>
          <cell r="C9">
            <v>43.558251757893288</v>
          </cell>
          <cell r="D9">
            <v>25.812200000000001</v>
          </cell>
          <cell r="E9">
            <v>52.756399999999999</v>
          </cell>
          <cell r="F9">
            <v>60.254100000000001</v>
          </cell>
          <cell r="G9">
            <v>43.539700000000003</v>
          </cell>
        </row>
        <row r="10">
          <cell r="B10">
            <v>42.769983115104019</v>
          </cell>
          <cell r="C10">
            <v>42.765240983083309</v>
          </cell>
          <cell r="D10">
            <v>25.886664375322219</v>
          </cell>
          <cell r="E10">
            <v>52.694105015593841</v>
          </cell>
          <cell r="F10">
            <v>59.563909774436091</v>
          </cell>
          <cell r="G10">
            <v>45.288135593220339</v>
          </cell>
        </row>
        <row r="11">
          <cell r="B11">
            <v>41.694510962525271</v>
          </cell>
          <cell r="C11">
            <v>41.686610396486749</v>
          </cell>
          <cell r="D11">
            <v>26.466773357719859</v>
          </cell>
          <cell r="E11">
            <v>52.161286903058247</v>
          </cell>
          <cell r="F11">
            <v>59.389830508474574</v>
          </cell>
          <cell r="G11">
            <v>46.979166666666664</v>
          </cell>
        </row>
        <row r="12">
          <cell r="B12">
            <v>43.753976474069688</v>
          </cell>
          <cell r="C12">
            <v>43.750574286772881</v>
          </cell>
          <cell r="D12">
            <v>27.050852713178294</v>
          </cell>
          <cell r="E12">
            <v>53.045272272912186</v>
          </cell>
          <cell r="F12">
            <v>58.898148148148145</v>
          </cell>
          <cell r="G12">
            <v>45.840909090909093</v>
          </cell>
        </row>
        <row r="13">
          <cell r="B13">
            <v>46.98041752631395</v>
          </cell>
          <cell r="C13">
            <v>46.98041752631395</v>
          </cell>
          <cell r="D13">
            <v>28.368721461187214</v>
          </cell>
          <cell r="E13">
            <v>53.004477611940295</v>
          </cell>
          <cell r="F13">
            <v>58.943396226415096</v>
          </cell>
          <cell r="G13">
            <v>47.139534883720927</v>
          </cell>
        </row>
        <row r="14">
          <cell r="B14">
            <v>46.228564115689785</v>
          </cell>
          <cell r="C14">
            <v>46.229893055962499</v>
          </cell>
          <cell r="D14">
            <v>28.413793103448278</v>
          </cell>
          <cell r="E14">
            <v>52.926583177001469</v>
          </cell>
          <cell r="F14">
            <v>58.565656565656568</v>
          </cell>
          <cell r="G14">
            <v>45.422222222222224</v>
          </cell>
        </row>
        <row r="15">
          <cell r="B15">
            <v>44.142152870064734</v>
          </cell>
          <cell r="C15">
            <v>44.136142973750914</v>
          </cell>
          <cell r="D15">
            <v>28.662697966977422</v>
          </cell>
          <cell r="E15">
            <v>53.704637802998455</v>
          </cell>
          <cell r="F15">
            <v>55.93</v>
          </cell>
          <cell r="G15">
            <v>46.94</v>
          </cell>
        </row>
      </sheetData>
      <sheetData sheetId="30">
        <row r="6">
          <cell r="B6">
            <v>59.67</v>
          </cell>
          <cell r="C6">
            <v>45</v>
          </cell>
          <cell r="D6">
            <v>67</v>
          </cell>
          <cell r="E6">
            <v>0</v>
          </cell>
        </row>
        <row r="7">
          <cell r="B7">
            <v>55</v>
          </cell>
          <cell r="C7">
            <v>44</v>
          </cell>
          <cell r="D7">
            <v>0</v>
          </cell>
          <cell r="E7">
            <v>66</v>
          </cell>
        </row>
        <row r="8">
          <cell r="B8">
            <v>63</v>
          </cell>
          <cell r="C8">
            <v>0</v>
          </cell>
          <cell r="D8">
            <v>55</v>
          </cell>
          <cell r="E8">
            <v>67</v>
          </cell>
        </row>
        <row r="9">
          <cell r="B9">
            <v>67.5</v>
          </cell>
          <cell r="C9">
            <v>0</v>
          </cell>
          <cell r="D9">
            <v>66</v>
          </cell>
          <cell r="E9">
            <v>69</v>
          </cell>
        </row>
        <row r="10">
          <cell r="B10">
            <v>0</v>
          </cell>
          <cell r="C10">
            <v>0</v>
          </cell>
          <cell r="D10">
            <v>0</v>
          </cell>
          <cell r="E10">
            <v>0</v>
          </cell>
        </row>
        <row r="11">
          <cell r="B11">
            <v>69</v>
          </cell>
          <cell r="C11">
            <v>0</v>
          </cell>
          <cell r="D11">
            <v>69</v>
          </cell>
          <cell r="E11">
            <v>0</v>
          </cell>
        </row>
        <row r="12">
          <cell r="B12">
            <v>0</v>
          </cell>
          <cell r="C12">
            <v>0</v>
          </cell>
          <cell r="D12">
            <v>0</v>
          </cell>
          <cell r="E12">
            <v>0</v>
          </cell>
        </row>
        <row r="13">
          <cell r="B13">
            <v>0</v>
          </cell>
          <cell r="C13">
            <v>0</v>
          </cell>
          <cell r="D13">
            <v>0</v>
          </cell>
          <cell r="E13">
            <v>0</v>
          </cell>
        </row>
        <row r="14">
          <cell r="B14">
            <v>0</v>
          </cell>
          <cell r="C14">
            <v>0</v>
          </cell>
          <cell r="D14">
            <v>0</v>
          </cell>
          <cell r="E14">
            <v>0</v>
          </cell>
        </row>
      </sheetData>
      <sheetData sheetId="31">
        <row r="6">
          <cell r="B6">
            <v>55.19</v>
          </cell>
          <cell r="C6">
            <v>55.25</v>
          </cell>
          <cell r="D6">
            <v>56.43</v>
          </cell>
          <cell r="E6">
            <v>55.15</v>
          </cell>
          <cell r="F6">
            <v>59.26</v>
          </cell>
          <cell r="G6">
            <v>44.6</v>
          </cell>
        </row>
        <row r="7">
          <cell r="B7">
            <v>55.10195410596026</v>
          </cell>
          <cell r="C7">
            <v>55.162843193165429</v>
          </cell>
          <cell r="D7">
            <v>55.103400000000001</v>
          </cell>
          <cell r="E7">
            <v>55.1006</v>
          </cell>
          <cell r="F7">
            <v>59.9739</v>
          </cell>
          <cell r="G7">
            <v>43.43</v>
          </cell>
        </row>
        <row r="8">
          <cell r="B8">
            <v>55.181021194605009</v>
          </cell>
          <cell r="C8">
            <v>55.196216581411058</v>
          </cell>
          <cell r="D8">
            <v>54.822200000000002</v>
          </cell>
          <cell r="E8">
            <v>55.163699999999999</v>
          </cell>
          <cell r="F8">
            <v>60.880600000000001</v>
          </cell>
          <cell r="G8">
            <v>46.8947</v>
          </cell>
        </row>
        <row r="9">
          <cell r="B9">
            <v>55.270349663602744</v>
          </cell>
          <cell r="C9">
            <v>55.294100883442553</v>
          </cell>
          <cell r="D9">
            <v>55.401459854014597</v>
          </cell>
          <cell r="E9">
            <v>55.267784454351599</v>
          </cell>
          <cell r="F9">
            <v>58.8611111111111</v>
          </cell>
          <cell r="G9">
            <v>45.653846153846203</v>
          </cell>
        </row>
        <row r="10">
          <cell r="B10">
            <v>55.424418013622073</v>
          </cell>
          <cell r="C10">
            <v>55.442950285248607</v>
          </cell>
          <cell r="D10">
            <v>53.511029411764703</v>
          </cell>
          <cell r="E10">
            <v>55.466427364864899</v>
          </cell>
          <cell r="F10">
            <v>59.6527777777778</v>
          </cell>
          <cell r="G10">
            <v>46.761904761904802</v>
          </cell>
        </row>
        <row r="11">
          <cell r="B11">
            <v>55.597298133443367</v>
          </cell>
          <cell r="C11">
            <v>55.61256328133075</v>
          </cell>
          <cell r="D11">
            <v>50.926892950391597</v>
          </cell>
          <cell r="E11">
            <v>55.776101584545302</v>
          </cell>
          <cell r="F11">
            <v>59.121951219512198</v>
          </cell>
          <cell r="G11">
            <v>47.3888888888889</v>
          </cell>
        </row>
        <row r="12">
          <cell r="B12">
            <v>55.718033341795689</v>
          </cell>
          <cell r="C12">
            <v>55.724476827925074</v>
          </cell>
          <cell r="D12">
            <v>50.832041343669303</v>
          </cell>
          <cell r="E12">
            <v>55.866243162166903</v>
          </cell>
          <cell r="F12">
            <v>59.219512195122</v>
          </cell>
          <cell r="G12">
            <v>50.285714285714299</v>
          </cell>
        </row>
        <row r="13">
          <cell r="B13">
            <v>56.599520633597329</v>
          </cell>
          <cell r="C13">
            <v>56.61</v>
          </cell>
          <cell r="D13">
            <v>51.405472636815901</v>
          </cell>
          <cell r="E13">
            <v>56.830424761277598</v>
          </cell>
          <cell r="F13">
            <v>58.084507042253499</v>
          </cell>
          <cell r="G13">
            <v>46.5</v>
          </cell>
        </row>
        <row r="14">
          <cell r="B14">
            <v>56.975891439295509</v>
          </cell>
          <cell r="C14">
            <v>56.990600144613161</v>
          </cell>
          <cell r="D14">
            <v>50.184070796460198</v>
          </cell>
          <cell r="E14">
            <v>57.616987434388399</v>
          </cell>
          <cell r="F14">
            <v>55.523809523809497</v>
          </cell>
          <cell r="G14">
            <v>48.5</v>
          </cell>
        </row>
      </sheetData>
      <sheetData sheetId="32">
        <row r="6">
          <cell r="B6">
            <v>54.06</v>
          </cell>
          <cell r="C6">
            <v>54.17</v>
          </cell>
          <cell r="D6">
            <v>57.73</v>
          </cell>
          <cell r="E6">
            <v>53.94</v>
          </cell>
          <cell r="F6">
            <v>58.12</v>
          </cell>
          <cell r="G6">
            <v>41.53</v>
          </cell>
        </row>
        <row r="7">
          <cell r="B7">
            <v>53.900592266112277</v>
          </cell>
          <cell r="C7">
            <v>53.963776108786618</v>
          </cell>
          <cell r="D7">
            <v>56.186</v>
          </cell>
          <cell r="E7">
            <v>53.832000000000001</v>
          </cell>
          <cell r="F7">
            <v>58.802300000000002</v>
          </cell>
          <cell r="G7">
            <v>43.833300000000001</v>
          </cell>
        </row>
        <row r="8">
          <cell r="B8">
            <v>53.893647394718059</v>
          </cell>
          <cell r="C8">
            <v>53.987050359712228</v>
          </cell>
          <cell r="D8">
            <v>57.315800000000003</v>
          </cell>
          <cell r="E8">
            <v>53.889499999999998</v>
          </cell>
          <cell r="F8">
            <v>59.207500000000003</v>
          </cell>
          <cell r="G8">
            <v>42.090899999999998</v>
          </cell>
        </row>
        <row r="9">
          <cell r="B9">
            <v>53.976579989667641</v>
          </cell>
          <cell r="C9">
            <v>54.027883616210602</v>
          </cell>
          <cell r="D9">
            <v>57.397590361445801</v>
          </cell>
          <cell r="E9">
            <v>53.911916178298704</v>
          </cell>
          <cell r="F9">
            <v>60.25</v>
          </cell>
          <cell r="G9">
            <v>45</v>
          </cell>
        </row>
        <row r="10">
          <cell r="B10">
            <v>53.976526717557284</v>
          </cell>
          <cell r="C10">
            <v>54.011893343564203</v>
          </cell>
          <cell r="D10">
            <v>58.240963855421697</v>
          </cell>
          <cell r="E10">
            <v>53.897915027537401</v>
          </cell>
          <cell r="F10">
            <v>58.978260869565197</v>
          </cell>
          <cell r="G10">
            <v>47.148148148148103</v>
          </cell>
        </row>
        <row r="11">
          <cell r="B11">
            <v>53.997222222222184</v>
          </cell>
          <cell r="C11">
            <v>54.045073793378506</v>
          </cell>
          <cell r="D11">
            <v>58.0731707317073</v>
          </cell>
          <cell r="E11">
            <v>53.955768446799802</v>
          </cell>
          <cell r="F11">
            <v>58.192307692307701</v>
          </cell>
          <cell r="G11">
            <v>44.769230769230802</v>
          </cell>
        </row>
        <row r="12">
          <cell r="B12">
            <v>53.9765625</v>
          </cell>
          <cell r="C12">
            <v>54.014597394443562</v>
          </cell>
          <cell r="D12">
            <v>57.985507246376798</v>
          </cell>
          <cell r="E12">
            <v>53.9557183816502</v>
          </cell>
          <cell r="F12">
            <v>58</v>
          </cell>
          <cell r="G12">
            <v>45.620689655172399</v>
          </cell>
        </row>
        <row r="13">
          <cell r="B13">
            <v>53.95</v>
          </cell>
          <cell r="C13">
            <v>53.99</v>
          </cell>
          <cell r="D13">
            <v>58.819277108433702</v>
          </cell>
          <cell r="E13">
            <v>53.906906453075401</v>
          </cell>
          <cell r="F13">
            <v>59.785714285714299</v>
          </cell>
          <cell r="G13">
            <v>45.030303030303003</v>
          </cell>
        </row>
        <row r="14">
          <cell r="B14">
            <v>54.266478176356244</v>
          </cell>
          <cell r="C14">
            <v>54.319338196050523</v>
          </cell>
          <cell r="D14">
            <v>56.369369369369402</v>
          </cell>
          <cell r="E14">
            <v>54.262196236068</v>
          </cell>
          <cell r="F14">
            <v>56.6216216216216</v>
          </cell>
          <cell r="G14">
            <v>46.447368421052602</v>
          </cell>
        </row>
      </sheetData>
      <sheetData sheetId="33">
        <row r="6">
          <cell r="B6">
            <v>35.99</v>
          </cell>
          <cell r="C6">
            <v>27.35</v>
          </cell>
          <cell r="D6">
            <v>43.76</v>
          </cell>
        </row>
        <row r="7">
          <cell r="B7">
            <v>34.324846979070685</v>
          </cell>
          <cell r="C7">
            <v>26.206099999999999</v>
          </cell>
          <cell r="D7">
            <v>44.037300000000002</v>
          </cell>
        </row>
        <row r="8">
          <cell r="B8">
            <v>29.910375916870414</v>
          </cell>
          <cell r="C8">
            <v>25.163499999999999</v>
          </cell>
          <cell r="D8">
            <v>43.648299999999999</v>
          </cell>
        </row>
        <row r="9">
          <cell r="B9">
            <v>29.657416650029901</v>
          </cell>
          <cell r="C9">
            <v>25.303468208092486</v>
          </cell>
          <cell r="D9">
            <v>43.432252701579387</v>
          </cell>
        </row>
        <row r="10">
          <cell r="B10">
            <v>30.017566459772809</v>
          </cell>
          <cell r="C10">
            <v>25.684029137620428</v>
          </cell>
          <cell r="D10">
            <v>42.851310600788679</v>
          </cell>
        </row>
        <row r="11">
          <cell r="B11">
            <v>30.210166734444897</v>
          </cell>
          <cell r="C11">
            <v>25.781758957654723</v>
          </cell>
          <cell r="D11">
            <v>43.430794165316044</v>
          </cell>
        </row>
        <row r="12">
          <cell r="B12">
            <v>32.719556840077068</v>
          </cell>
          <cell r="C12">
            <v>26.730006105006105</v>
          </cell>
          <cell r="D12">
            <v>42.97126436781609</v>
          </cell>
        </row>
        <row r="13">
          <cell r="B13">
            <v>32.426491994177582</v>
          </cell>
          <cell r="C13">
            <v>26.732170930398699</v>
          </cell>
          <cell r="D13">
            <v>42.399749687108901</v>
          </cell>
        </row>
        <row r="14">
          <cell r="B14">
            <v>30.531421655339354</v>
          </cell>
          <cell r="C14">
            <v>26.810866658563299</v>
          </cell>
          <cell r="D14">
            <v>42.7068416865553</v>
          </cell>
        </row>
      </sheetData>
      <sheetData sheetId="34">
        <row r="5">
          <cell r="B5">
            <v>0</v>
          </cell>
          <cell r="C5">
            <v>98</v>
          </cell>
          <cell r="D5">
            <v>53</v>
          </cell>
          <cell r="E5">
            <v>9</v>
          </cell>
        </row>
        <row r="6">
          <cell r="B6">
            <v>0</v>
          </cell>
          <cell r="C6">
            <v>72</v>
          </cell>
          <cell r="D6">
            <v>50</v>
          </cell>
          <cell r="E6">
            <v>4</v>
          </cell>
        </row>
        <row r="7">
          <cell r="B7">
            <v>0</v>
          </cell>
          <cell r="C7">
            <v>112</v>
          </cell>
          <cell r="D7">
            <v>63</v>
          </cell>
          <cell r="E7">
            <v>5</v>
          </cell>
        </row>
        <row r="8">
          <cell r="B8">
            <v>1</v>
          </cell>
          <cell r="C8">
            <v>153</v>
          </cell>
          <cell r="D8">
            <v>65</v>
          </cell>
          <cell r="E8">
            <v>7</v>
          </cell>
        </row>
        <row r="9">
          <cell r="B9">
            <v>0</v>
          </cell>
          <cell r="C9">
            <v>161</v>
          </cell>
          <cell r="D9">
            <v>72</v>
          </cell>
          <cell r="E9">
            <v>9</v>
          </cell>
        </row>
        <row r="10">
          <cell r="B10">
            <v>0</v>
          </cell>
          <cell r="C10">
            <v>159</v>
          </cell>
          <cell r="D10">
            <v>87</v>
          </cell>
          <cell r="E10">
            <v>8</v>
          </cell>
        </row>
        <row r="11">
          <cell r="B11">
            <v>0</v>
          </cell>
          <cell r="C11">
            <v>218</v>
          </cell>
          <cell r="D11">
            <v>97</v>
          </cell>
          <cell r="E11">
            <v>8</v>
          </cell>
        </row>
        <row r="12">
          <cell r="B12">
            <v>1</v>
          </cell>
          <cell r="C12">
            <v>265</v>
          </cell>
          <cell r="D12">
            <v>130</v>
          </cell>
          <cell r="E12">
            <v>24</v>
          </cell>
        </row>
        <row r="13">
          <cell r="B13">
            <v>3</v>
          </cell>
          <cell r="C13">
            <v>289</v>
          </cell>
          <cell r="D13">
            <v>165</v>
          </cell>
          <cell r="E13">
            <v>18</v>
          </cell>
        </row>
      </sheetData>
      <sheetData sheetId="35">
        <row r="7">
          <cell r="B7">
            <v>2</v>
          </cell>
        </row>
      </sheetData>
      <sheetData sheetId="36">
        <row r="7">
          <cell r="B7">
            <v>0</v>
          </cell>
        </row>
      </sheetData>
      <sheetData sheetId="37">
        <row r="7">
          <cell r="B7">
            <v>0</v>
          </cell>
        </row>
      </sheetData>
      <sheetData sheetId="38">
        <row r="6">
          <cell r="B6">
            <v>459207941</v>
          </cell>
          <cell r="C6">
            <v>462758</v>
          </cell>
          <cell r="D6">
            <v>221577519</v>
          </cell>
          <cell r="E6">
            <v>170050204</v>
          </cell>
          <cell r="F6">
            <v>67117460</v>
          </cell>
          <cell r="G6">
            <v>135677214</v>
          </cell>
          <cell r="H6">
            <v>407879</v>
          </cell>
          <cell r="I6">
            <v>41138809</v>
          </cell>
          <cell r="J6">
            <v>54190162</v>
          </cell>
          <cell r="K6">
            <v>39940364</v>
          </cell>
          <cell r="L6">
            <v>29.55</v>
          </cell>
          <cell r="M6">
            <v>88.14</v>
          </cell>
          <cell r="N6">
            <v>18.57</v>
          </cell>
          <cell r="O6">
            <v>31.87</v>
          </cell>
          <cell r="P6">
            <v>59.51</v>
          </cell>
          <cell r="Q6">
            <v>323530727</v>
          </cell>
          <cell r="R6">
            <v>54879</v>
          </cell>
          <cell r="S6">
            <v>180438710</v>
          </cell>
          <cell r="T6">
            <v>115860042</v>
          </cell>
          <cell r="U6">
            <v>27177096</v>
          </cell>
        </row>
        <row r="7">
          <cell r="B7">
            <v>54472275</v>
          </cell>
          <cell r="C7">
            <v>59134</v>
          </cell>
          <cell r="D7">
            <v>25754994</v>
          </cell>
          <cell r="E7">
            <v>20664367</v>
          </cell>
          <cell r="F7">
            <v>7993780</v>
          </cell>
          <cell r="G7">
            <v>28329014</v>
          </cell>
          <cell r="H7">
            <v>58267</v>
          </cell>
          <cell r="I7">
            <v>10097046</v>
          </cell>
          <cell r="J7">
            <v>11577533</v>
          </cell>
          <cell r="K7">
            <v>6596168</v>
          </cell>
          <cell r="L7">
            <v>52.01</v>
          </cell>
          <cell r="M7" t="str">
            <v>*</v>
          </cell>
          <cell r="N7">
            <v>39.200000000000003</v>
          </cell>
          <cell r="O7">
            <v>56.03</v>
          </cell>
          <cell r="P7">
            <v>82.52</v>
          </cell>
          <cell r="Q7">
            <v>26143261</v>
          </cell>
          <cell r="R7">
            <v>867</v>
          </cell>
          <cell r="S7">
            <v>15657948</v>
          </cell>
          <cell r="T7">
            <v>9086834</v>
          </cell>
          <cell r="U7">
            <v>1397612</v>
          </cell>
        </row>
        <row r="8">
          <cell r="B8">
            <v>55422063</v>
          </cell>
          <cell r="C8">
            <v>12217</v>
          </cell>
          <cell r="D8">
            <v>26398583</v>
          </cell>
          <cell r="E8">
            <v>20589674</v>
          </cell>
          <cell r="F8">
            <v>8421589</v>
          </cell>
          <cell r="G8">
            <v>30669240</v>
          </cell>
          <cell r="H8">
            <v>45177</v>
          </cell>
          <cell r="I8">
            <v>11555525</v>
          </cell>
          <cell r="J8">
            <v>12703381</v>
          </cell>
          <cell r="K8">
            <v>6365157</v>
          </cell>
          <cell r="L8">
            <v>55.34</v>
          </cell>
          <cell r="M8" t="str">
            <v>*</v>
          </cell>
          <cell r="N8">
            <v>43.77</v>
          </cell>
          <cell r="O8">
            <v>61.7</v>
          </cell>
          <cell r="P8">
            <v>75.58</v>
          </cell>
          <cell r="Q8">
            <v>24752823</v>
          </cell>
          <cell r="R8">
            <v>-32960</v>
          </cell>
          <cell r="S8">
            <v>14843058</v>
          </cell>
          <cell r="T8">
            <v>7886293</v>
          </cell>
          <cell r="U8">
            <v>2056432</v>
          </cell>
        </row>
        <row r="9">
          <cell r="B9">
            <v>56805040</v>
          </cell>
          <cell r="C9">
            <v>48058</v>
          </cell>
          <cell r="D9">
            <v>27119177</v>
          </cell>
          <cell r="E9">
            <v>20733856</v>
          </cell>
          <cell r="F9">
            <v>8903949</v>
          </cell>
          <cell r="G9">
            <v>35544169</v>
          </cell>
          <cell r="H9">
            <v>44668</v>
          </cell>
          <cell r="I9">
            <v>13712299</v>
          </cell>
          <cell r="J9">
            <v>14054334</v>
          </cell>
          <cell r="K9">
            <v>7732868</v>
          </cell>
          <cell r="L9">
            <v>62.57</v>
          </cell>
          <cell r="M9" t="str">
            <v>*</v>
          </cell>
          <cell r="N9">
            <v>50.56</v>
          </cell>
          <cell r="O9">
            <v>67.78</v>
          </cell>
          <cell r="P9">
            <v>86.85</v>
          </cell>
          <cell r="Q9">
            <v>21260871</v>
          </cell>
          <cell r="R9">
            <v>3390</v>
          </cell>
          <cell r="S9">
            <v>13406878</v>
          </cell>
          <cell r="T9">
            <v>6679522</v>
          </cell>
          <cell r="U9">
            <v>1171081</v>
          </cell>
        </row>
        <row r="10">
          <cell r="B10">
            <v>57675440</v>
          </cell>
          <cell r="C10">
            <v>40608</v>
          </cell>
          <cell r="D10">
            <v>27246057</v>
          </cell>
          <cell r="E10">
            <v>21187715</v>
          </cell>
          <cell r="F10">
            <v>9201060</v>
          </cell>
          <cell r="G10">
            <v>42601731</v>
          </cell>
          <cell r="H10">
            <v>47197</v>
          </cell>
          <cell r="I10">
            <v>16698819</v>
          </cell>
          <cell r="J10">
            <v>15984883</v>
          </cell>
          <cell r="K10">
            <v>9870832</v>
          </cell>
          <cell r="L10">
            <v>73.86</v>
          </cell>
          <cell r="M10" t="str">
            <v>*</v>
          </cell>
          <cell r="N10">
            <v>61.29</v>
          </cell>
          <cell r="O10">
            <v>75.44</v>
          </cell>
          <cell r="P10">
            <v>107.28</v>
          </cell>
          <cell r="Q10">
            <v>15073709</v>
          </cell>
          <cell r="R10">
            <v>-6589</v>
          </cell>
          <cell r="S10">
            <v>10547238</v>
          </cell>
          <cell r="T10">
            <v>5202832</v>
          </cell>
          <cell r="U10">
            <v>-669772</v>
          </cell>
        </row>
        <row r="11">
          <cell r="B11">
            <v>59046402</v>
          </cell>
          <cell r="C11">
            <v>46134</v>
          </cell>
          <cell r="D11">
            <v>27627958</v>
          </cell>
          <cell r="E11">
            <v>21566920</v>
          </cell>
          <cell r="F11">
            <v>9805390</v>
          </cell>
          <cell r="G11">
            <v>50147619</v>
          </cell>
          <cell r="H11">
            <v>45484</v>
          </cell>
          <cell r="I11">
            <v>20225256</v>
          </cell>
          <cell r="J11">
            <v>18310673</v>
          </cell>
          <cell r="K11">
            <v>11566206</v>
          </cell>
          <cell r="L11">
            <v>84.93</v>
          </cell>
          <cell r="M11" t="str">
            <v>*</v>
          </cell>
          <cell r="N11">
            <v>73.209999999999994</v>
          </cell>
          <cell r="O11">
            <v>84.9</v>
          </cell>
          <cell r="P11">
            <v>117.96</v>
          </cell>
          <cell r="Q11">
            <v>8898783</v>
          </cell>
          <cell r="R11">
            <v>650</v>
          </cell>
          <cell r="S11">
            <v>7402702</v>
          </cell>
          <cell r="T11">
            <v>3256247</v>
          </cell>
          <cell r="U11">
            <v>-1760816</v>
          </cell>
        </row>
        <row r="12">
          <cell r="B12">
            <v>59250545</v>
          </cell>
          <cell r="C12">
            <v>42338</v>
          </cell>
          <cell r="D12">
            <v>27784198</v>
          </cell>
          <cell r="E12">
            <v>21768522</v>
          </cell>
          <cell r="F12">
            <v>9655487</v>
          </cell>
          <cell r="G12">
            <v>57728247</v>
          </cell>
          <cell r="H12">
            <v>46303</v>
          </cell>
          <cell r="I12">
            <v>23573134</v>
          </cell>
          <cell r="J12">
            <v>20486592</v>
          </cell>
          <cell r="K12">
            <v>13622218</v>
          </cell>
          <cell r="L12">
            <v>97.43</v>
          </cell>
          <cell r="M12" t="str">
            <v>*</v>
          </cell>
          <cell r="N12">
            <v>84.84</v>
          </cell>
          <cell r="O12">
            <v>94.11</v>
          </cell>
          <cell r="P12">
            <v>141.08000000000001</v>
          </cell>
          <cell r="Q12">
            <v>1522298</v>
          </cell>
          <cell r="R12">
            <v>-3965</v>
          </cell>
          <cell r="S12">
            <v>4211064</v>
          </cell>
          <cell r="T12">
            <v>1281930</v>
          </cell>
          <cell r="U12">
            <v>-3966731</v>
          </cell>
        </row>
        <row r="13">
          <cell r="B13">
            <v>59658834</v>
          </cell>
          <cell r="C13">
            <v>43937</v>
          </cell>
          <cell r="D13">
            <v>27921999</v>
          </cell>
          <cell r="E13">
            <v>21976239</v>
          </cell>
          <cell r="F13">
            <v>9716659</v>
          </cell>
          <cell r="G13">
            <v>63022530</v>
          </cell>
          <cell r="H13">
            <v>47547</v>
          </cell>
          <cell r="I13">
            <v>26939715</v>
          </cell>
          <cell r="J13">
            <v>22445267</v>
          </cell>
          <cell r="K13">
            <v>13590001</v>
          </cell>
          <cell r="L13">
            <v>105.64</v>
          </cell>
          <cell r="M13" t="str">
            <v>*</v>
          </cell>
          <cell r="N13">
            <v>96.48</v>
          </cell>
          <cell r="O13">
            <v>102.13</v>
          </cell>
          <cell r="P13">
            <v>139.86000000000001</v>
          </cell>
          <cell r="Q13">
            <v>-3363696</v>
          </cell>
          <cell r="R13">
            <v>-3610</v>
          </cell>
          <cell r="S13">
            <v>982284</v>
          </cell>
          <cell r="T13">
            <v>-469028</v>
          </cell>
          <cell r="U13">
            <v>-3873342</v>
          </cell>
        </row>
        <row r="14">
          <cell r="B14">
            <v>59729631</v>
          </cell>
          <cell r="C14">
            <v>45461</v>
          </cell>
          <cell r="D14">
            <v>27834049</v>
          </cell>
          <cell r="E14">
            <v>22017591</v>
          </cell>
          <cell r="F14">
            <v>9832530</v>
          </cell>
          <cell r="G14">
            <v>70034840</v>
          </cell>
          <cell r="H14">
            <v>48989</v>
          </cell>
          <cell r="I14">
            <v>30561589</v>
          </cell>
          <cell r="J14">
            <v>24931853</v>
          </cell>
          <cell r="K14">
            <v>14492409</v>
          </cell>
          <cell r="L14">
            <v>117.25</v>
          </cell>
          <cell r="M14" t="str">
            <v>*</v>
          </cell>
          <cell r="N14">
            <v>109.8</v>
          </cell>
          <cell r="O14">
            <v>113.24</v>
          </cell>
          <cell r="P14">
            <v>147.38999999999999</v>
          </cell>
          <cell r="Q14">
            <v>-10305209</v>
          </cell>
          <cell r="R14">
            <v>-3528</v>
          </cell>
          <cell r="S14">
            <v>-2727540</v>
          </cell>
          <cell r="T14">
            <v>-2914262</v>
          </cell>
          <cell r="U14">
            <v>-4659879</v>
          </cell>
        </row>
        <row r="15">
          <cell r="B15">
            <v>59607094</v>
          </cell>
          <cell r="C15">
            <v>44795</v>
          </cell>
          <cell r="D15">
            <v>27738774</v>
          </cell>
          <cell r="E15">
            <v>21935065</v>
          </cell>
          <cell r="F15">
            <v>9888460</v>
          </cell>
          <cell r="G15">
            <v>78583980</v>
          </cell>
          <cell r="H15">
            <v>48138</v>
          </cell>
          <cell r="I15">
            <v>34652073</v>
          </cell>
          <cell r="J15">
            <v>27909447</v>
          </cell>
          <cell r="K15">
            <v>15974322</v>
          </cell>
          <cell r="L15">
            <v>131.84</v>
          </cell>
          <cell r="M15" t="str">
            <v>*</v>
          </cell>
          <cell r="N15">
            <v>124.92</v>
          </cell>
          <cell r="O15">
            <v>127.24</v>
          </cell>
          <cell r="P15">
            <v>161.55000000000001</v>
          </cell>
          <cell r="Q15">
            <v>-18976886</v>
          </cell>
          <cell r="R15">
            <v>-3343</v>
          </cell>
          <cell r="S15">
            <v>-6913299</v>
          </cell>
          <cell r="T15">
            <v>-5974382</v>
          </cell>
          <cell r="U15">
            <v>-6085862</v>
          </cell>
        </row>
        <row r="16">
          <cell r="B16">
            <v>59713293</v>
          </cell>
          <cell r="C16">
            <v>52483</v>
          </cell>
          <cell r="D16">
            <v>28011263</v>
          </cell>
          <cell r="E16">
            <v>21846966</v>
          </cell>
          <cell r="F16">
            <v>9802581</v>
          </cell>
          <cell r="G16">
            <v>86614879</v>
          </cell>
          <cell r="H16">
            <v>47223</v>
          </cell>
          <cell r="I16">
            <v>38124486</v>
          </cell>
          <cell r="J16">
            <v>31008544</v>
          </cell>
          <cell r="K16">
            <v>17434626</v>
          </cell>
          <cell r="L16">
            <v>145.05000000000001</v>
          </cell>
          <cell r="M16" t="str">
            <v>*</v>
          </cell>
          <cell r="N16">
            <v>136.1</v>
          </cell>
          <cell r="O16">
            <v>141.94</v>
          </cell>
          <cell r="P16">
            <v>177.86</v>
          </cell>
          <cell r="Q16">
            <v>-26901585</v>
          </cell>
          <cell r="R16">
            <v>5260</v>
          </cell>
          <cell r="S16">
            <v>-10113222</v>
          </cell>
          <cell r="T16">
            <v>-9161578</v>
          </cell>
          <cell r="U16">
            <v>-7632045</v>
          </cell>
        </row>
      </sheetData>
      <sheetData sheetId="39" refreshError="1"/>
      <sheetData sheetId="40" refreshError="1"/>
      <sheetData sheetId="41" refreshError="1"/>
      <sheetData sheetId="42">
        <row r="6">
          <cell r="B6">
            <v>30669240</v>
          </cell>
          <cell r="C6">
            <v>29489014</v>
          </cell>
          <cell r="D6">
            <v>1507628</v>
          </cell>
          <cell r="E6">
            <v>25933272</v>
          </cell>
          <cell r="F6">
            <v>516323</v>
          </cell>
          <cell r="G6">
            <v>5692</v>
          </cell>
          <cell r="H6">
            <v>1169795</v>
          </cell>
          <cell r="I6">
            <v>92023</v>
          </cell>
          <cell r="J6">
            <v>78415</v>
          </cell>
          <cell r="K6">
            <v>185866</v>
          </cell>
          <cell r="L6">
            <v>931870</v>
          </cell>
          <cell r="M6">
            <v>393791</v>
          </cell>
          <cell r="N6">
            <v>538079</v>
          </cell>
          <cell r="O6">
            <v>248356</v>
          </cell>
          <cell r="P6">
            <v>207285</v>
          </cell>
          <cell r="Q6">
            <v>41071</v>
          </cell>
        </row>
        <row r="7">
          <cell r="B7">
            <v>35544169</v>
          </cell>
          <cell r="C7">
            <v>34253587</v>
          </cell>
          <cell r="D7">
            <v>1956699</v>
          </cell>
          <cell r="E7">
            <v>30053027</v>
          </cell>
          <cell r="F7">
            <v>657752</v>
          </cell>
          <cell r="G7">
            <v>5288</v>
          </cell>
          <cell r="H7">
            <v>1172588</v>
          </cell>
          <cell r="I7">
            <v>101157</v>
          </cell>
          <cell r="J7">
            <v>68858</v>
          </cell>
          <cell r="K7">
            <v>238218</v>
          </cell>
          <cell r="L7">
            <v>990856</v>
          </cell>
          <cell r="M7">
            <v>389507</v>
          </cell>
          <cell r="N7">
            <v>601349</v>
          </cell>
          <cell r="O7">
            <v>299726</v>
          </cell>
          <cell r="P7">
            <v>264698</v>
          </cell>
          <cell r="Q7">
            <v>35028</v>
          </cell>
        </row>
        <row r="8">
          <cell r="B8">
            <v>42601731</v>
          </cell>
          <cell r="C8">
            <v>41104541</v>
          </cell>
          <cell r="D8">
            <v>3037044</v>
          </cell>
          <cell r="E8">
            <v>35791321</v>
          </cell>
          <cell r="F8">
            <v>640301</v>
          </cell>
          <cell r="G8">
            <v>6683</v>
          </cell>
          <cell r="H8">
            <v>1145309</v>
          </cell>
          <cell r="I8">
            <v>88680</v>
          </cell>
          <cell r="J8">
            <v>86893</v>
          </cell>
          <cell r="K8">
            <v>308310</v>
          </cell>
          <cell r="L8">
            <v>1101273</v>
          </cell>
          <cell r="M8">
            <v>424006</v>
          </cell>
          <cell r="N8">
            <v>677267</v>
          </cell>
          <cell r="O8">
            <v>395917</v>
          </cell>
          <cell r="P8">
            <v>355496</v>
          </cell>
          <cell r="Q8">
            <v>40421</v>
          </cell>
        </row>
        <row r="9">
          <cell r="B9">
            <v>50147619</v>
          </cell>
          <cell r="C9">
            <v>48525037</v>
          </cell>
          <cell r="D9">
            <v>3565927</v>
          </cell>
          <cell r="E9">
            <v>42454756</v>
          </cell>
          <cell r="F9">
            <v>702376</v>
          </cell>
          <cell r="G9">
            <v>7383</v>
          </cell>
          <cell r="H9">
            <v>1191439</v>
          </cell>
          <cell r="I9">
            <v>83811</v>
          </cell>
          <cell r="J9">
            <v>145136</v>
          </cell>
          <cell r="K9">
            <v>374209</v>
          </cell>
          <cell r="L9">
            <v>1176189</v>
          </cell>
          <cell r="M9">
            <v>425000</v>
          </cell>
          <cell r="N9">
            <v>751189</v>
          </cell>
          <cell r="O9">
            <v>446393</v>
          </cell>
          <cell r="P9">
            <v>397370</v>
          </cell>
          <cell r="Q9">
            <v>49023</v>
          </cell>
        </row>
        <row r="10">
          <cell r="B10">
            <v>57728247</v>
          </cell>
          <cell r="C10">
            <v>56007307</v>
          </cell>
          <cell r="D10">
            <v>4546882</v>
          </cell>
          <cell r="E10">
            <v>48797875</v>
          </cell>
          <cell r="F10">
            <v>794432</v>
          </cell>
          <cell r="G10">
            <v>7727</v>
          </cell>
          <cell r="H10">
            <v>1189360</v>
          </cell>
          <cell r="I10">
            <v>93491</v>
          </cell>
          <cell r="J10">
            <v>128328</v>
          </cell>
          <cell r="K10">
            <v>449212</v>
          </cell>
          <cell r="L10">
            <v>1268661</v>
          </cell>
          <cell r="M10">
            <v>460756</v>
          </cell>
          <cell r="N10">
            <v>807905</v>
          </cell>
          <cell r="O10">
            <v>452279</v>
          </cell>
          <cell r="P10">
            <v>399565</v>
          </cell>
          <cell r="Q10">
            <v>52714</v>
          </cell>
        </row>
        <row r="11">
          <cell r="B11">
            <v>63022530</v>
          </cell>
          <cell r="C11">
            <v>61166358</v>
          </cell>
          <cell r="D11">
            <v>3780607</v>
          </cell>
          <cell r="E11">
            <v>54847245</v>
          </cell>
          <cell r="F11">
            <v>604579</v>
          </cell>
          <cell r="G11">
            <v>8418</v>
          </cell>
          <cell r="H11">
            <v>1186154</v>
          </cell>
          <cell r="I11">
            <v>64289</v>
          </cell>
          <cell r="J11">
            <v>138207</v>
          </cell>
          <cell r="K11">
            <v>536859</v>
          </cell>
          <cell r="L11">
            <v>1343087</v>
          </cell>
          <cell r="M11">
            <v>473720</v>
          </cell>
          <cell r="N11">
            <v>869367</v>
          </cell>
          <cell r="O11">
            <v>513085</v>
          </cell>
          <cell r="P11">
            <v>430643</v>
          </cell>
          <cell r="Q11">
            <v>82442</v>
          </cell>
        </row>
        <row r="12">
          <cell r="B12">
            <v>70034840</v>
          </cell>
          <cell r="C12">
            <v>68015872</v>
          </cell>
          <cell r="D12">
            <v>3473784</v>
          </cell>
          <cell r="E12">
            <v>61694702</v>
          </cell>
          <cell r="F12">
            <v>749855</v>
          </cell>
          <cell r="G12">
            <v>8417</v>
          </cell>
          <cell r="H12">
            <v>1209867</v>
          </cell>
          <cell r="I12">
            <v>88806</v>
          </cell>
          <cell r="J12">
            <v>147390</v>
          </cell>
          <cell r="K12">
            <v>643051</v>
          </cell>
          <cell r="L12">
            <v>1413372</v>
          </cell>
          <cell r="M12">
            <v>481929</v>
          </cell>
          <cell r="N12">
            <v>931443</v>
          </cell>
          <cell r="O12">
            <v>605596</v>
          </cell>
          <cell r="P12">
            <v>518875</v>
          </cell>
          <cell r="Q12">
            <v>86721</v>
          </cell>
        </row>
        <row r="13">
          <cell r="B13">
            <v>78583980</v>
          </cell>
          <cell r="C13">
            <v>76304780</v>
          </cell>
          <cell r="D13">
            <v>3683455</v>
          </cell>
          <cell r="E13">
            <v>69677857</v>
          </cell>
          <cell r="F13">
            <v>686909</v>
          </cell>
          <cell r="G13">
            <v>9121</v>
          </cell>
          <cell r="H13">
            <v>1195863</v>
          </cell>
          <cell r="I13">
            <v>84318</v>
          </cell>
          <cell r="J13">
            <v>200083</v>
          </cell>
          <cell r="K13">
            <v>767172</v>
          </cell>
          <cell r="L13">
            <v>1630571</v>
          </cell>
          <cell r="M13">
            <v>590049</v>
          </cell>
          <cell r="N13">
            <v>1040522</v>
          </cell>
          <cell r="O13">
            <v>648630</v>
          </cell>
          <cell r="P13">
            <v>524155</v>
          </cell>
          <cell r="Q13">
            <v>124473</v>
          </cell>
        </row>
        <row r="14">
          <cell r="B14">
            <v>86614879</v>
          </cell>
          <cell r="C14">
            <v>84207849</v>
          </cell>
          <cell r="D14">
            <v>4662141</v>
          </cell>
          <cell r="E14">
            <v>76623852</v>
          </cell>
          <cell r="F14">
            <v>425449</v>
          </cell>
          <cell r="G14">
            <v>10109</v>
          </cell>
          <cell r="H14">
            <v>1208354</v>
          </cell>
          <cell r="I14">
            <v>112147</v>
          </cell>
          <cell r="J14">
            <v>259775</v>
          </cell>
          <cell r="K14">
            <v>906021</v>
          </cell>
          <cell r="L14">
            <v>1557588</v>
          </cell>
          <cell r="M14">
            <v>501167</v>
          </cell>
          <cell r="N14">
            <v>1056421</v>
          </cell>
          <cell r="O14">
            <v>849441</v>
          </cell>
          <cell r="P14">
            <v>691658</v>
          </cell>
          <cell r="Q14">
            <v>157783</v>
          </cell>
        </row>
      </sheetData>
      <sheetData sheetId="43">
        <row r="6">
          <cell r="B6">
            <v>45177</v>
          </cell>
          <cell r="C6">
            <v>42880</v>
          </cell>
          <cell r="D6">
            <v>2329</v>
          </cell>
          <cell r="E6">
            <v>36169</v>
          </cell>
          <cell r="F6">
            <v>0</v>
          </cell>
          <cell r="G6">
            <v>0</v>
          </cell>
          <cell r="H6">
            <v>4188</v>
          </cell>
          <cell r="I6">
            <v>0</v>
          </cell>
          <cell r="J6">
            <v>0</v>
          </cell>
          <cell r="K6">
            <v>194</v>
          </cell>
          <cell r="L6">
            <v>2227</v>
          </cell>
          <cell r="M6">
            <v>1387</v>
          </cell>
          <cell r="N6">
            <v>840</v>
          </cell>
          <cell r="O6">
            <v>70</v>
          </cell>
          <cell r="P6">
            <v>70</v>
          </cell>
          <cell r="Q6">
            <v>0</v>
          </cell>
        </row>
        <row r="7">
          <cell r="B7">
            <v>44668</v>
          </cell>
          <cell r="C7">
            <v>43616</v>
          </cell>
          <cell r="D7">
            <v>1184</v>
          </cell>
          <cell r="E7">
            <v>36515</v>
          </cell>
          <cell r="F7">
            <v>0</v>
          </cell>
          <cell r="G7">
            <v>0</v>
          </cell>
          <cell r="H7">
            <v>5400</v>
          </cell>
          <cell r="I7">
            <v>0</v>
          </cell>
          <cell r="J7">
            <v>-78</v>
          </cell>
          <cell r="K7">
            <v>595</v>
          </cell>
          <cell r="L7">
            <v>839</v>
          </cell>
          <cell r="M7">
            <v>0</v>
          </cell>
          <cell r="N7">
            <v>839</v>
          </cell>
          <cell r="O7">
            <v>213</v>
          </cell>
          <cell r="P7">
            <v>213</v>
          </cell>
          <cell r="Q7">
            <v>0</v>
          </cell>
        </row>
        <row r="8">
          <cell r="B8">
            <v>47197</v>
          </cell>
          <cell r="C8">
            <v>46229</v>
          </cell>
          <cell r="D8">
            <v>772</v>
          </cell>
          <cell r="E8">
            <v>37491</v>
          </cell>
          <cell r="F8">
            <v>572</v>
          </cell>
          <cell r="G8">
            <v>0</v>
          </cell>
          <cell r="H8">
            <v>6814</v>
          </cell>
          <cell r="I8">
            <v>0</v>
          </cell>
          <cell r="J8">
            <v>0</v>
          </cell>
          <cell r="K8">
            <v>580</v>
          </cell>
          <cell r="L8">
            <v>852</v>
          </cell>
          <cell r="M8">
            <v>0</v>
          </cell>
          <cell r="N8">
            <v>852</v>
          </cell>
          <cell r="O8">
            <v>116</v>
          </cell>
          <cell r="P8">
            <v>115</v>
          </cell>
          <cell r="Q8">
            <v>1</v>
          </cell>
        </row>
        <row r="9">
          <cell r="B9">
            <v>45484</v>
          </cell>
          <cell r="C9">
            <v>44507</v>
          </cell>
          <cell r="D9">
            <v>235</v>
          </cell>
          <cell r="E9">
            <v>37384</v>
          </cell>
          <cell r="F9">
            <v>0</v>
          </cell>
          <cell r="G9">
            <v>0</v>
          </cell>
          <cell r="H9">
            <v>6048</v>
          </cell>
          <cell r="I9">
            <v>0</v>
          </cell>
          <cell r="J9">
            <v>114</v>
          </cell>
          <cell r="K9">
            <v>726</v>
          </cell>
          <cell r="L9">
            <v>838</v>
          </cell>
          <cell r="M9">
            <v>0</v>
          </cell>
          <cell r="N9">
            <v>838</v>
          </cell>
          <cell r="O9">
            <v>139</v>
          </cell>
          <cell r="P9">
            <v>139</v>
          </cell>
          <cell r="Q9">
            <v>0</v>
          </cell>
        </row>
        <row r="10">
          <cell r="B10">
            <v>46303</v>
          </cell>
          <cell r="C10">
            <v>45581</v>
          </cell>
          <cell r="D10">
            <v>1338</v>
          </cell>
          <cell r="E10">
            <v>38611</v>
          </cell>
          <cell r="F10">
            <v>0</v>
          </cell>
          <cell r="G10">
            <v>0</v>
          </cell>
          <cell r="H10">
            <v>4826</v>
          </cell>
          <cell r="I10">
            <v>0</v>
          </cell>
          <cell r="J10">
            <v>0</v>
          </cell>
          <cell r="K10">
            <v>806</v>
          </cell>
          <cell r="L10">
            <v>722</v>
          </cell>
          <cell r="M10">
            <v>0</v>
          </cell>
          <cell r="N10">
            <v>722</v>
          </cell>
          <cell r="O10">
            <v>0</v>
          </cell>
          <cell r="P10">
            <v>0</v>
          </cell>
          <cell r="Q10">
            <v>0</v>
          </cell>
        </row>
        <row r="11">
          <cell r="B11">
            <v>47547</v>
          </cell>
          <cell r="C11">
            <v>46699</v>
          </cell>
          <cell r="D11">
            <v>0</v>
          </cell>
          <cell r="E11">
            <v>40493</v>
          </cell>
          <cell r="F11">
            <v>572</v>
          </cell>
          <cell r="G11">
            <v>0</v>
          </cell>
          <cell r="H11">
            <v>4820</v>
          </cell>
          <cell r="I11">
            <v>0</v>
          </cell>
          <cell r="J11">
            <v>0</v>
          </cell>
          <cell r="K11">
            <v>814</v>
          </cell>
          <cell r="L11">
            <v>704</v>
          </cell>
          <cell r="M11">
            <v>0</v>
          </cell>
          <cell r="N11">
            <v>704</v>
          </cell>
          <cell r="O11">
            <v>144</v>
          </cell>
          <cell r="P11">
            <v>144</v>
          </cell>
          <cell r="Q11">
            <v>0</v>
          </cell>
        </row>
        <row r="12">
          <cell r="B12">
            <v>48989</v>
          </cell>
          <cell r="C12">
            <v>48286</v>
          </cell>
          <cell r="D12">
            <v>0</v>
          </cell>
          <cell r="E12">
            <v>42350</v>
          </cell>
          <cell r="F12">
            <v>0</v>
          </cell>
          <cell r="G12">
            <v>0</v>
          </cell>
          <cell r="H12">
            <v>4786</v>
          </cell>
          <cell r="I12">
            <v>0</v>
          </cell>
          <cell r="J12">
            <v>0</v>
          </cell>
          <cell r="K12">
            <v>1150</v>
          </cell>
          <cell r="L12">
            <v>703</v>
          </cell>
          <cell r="M12">
            <v>0</v>
          </cell>
          <cell r="N12">
            <v>703</v>
          </cell>
          <cell r="O12">
            <v>0</v>
          </cell>
          <cell r="P12">
            <v>0</v>
          </cell>
          <cell r="Q12">
            <v>0</v>
          </cell>
        </row>
        <row r="13">
          <cell r="B13">
            <v>48138</v>
          </cell>
          <cell r="C13">
            <v>47709</v>
          </cell>
          <cell r="D13">
            <v>0</v>
          </cell>
          <cell r="E13">
            <v>41552</v>
          </cell>
          <cell r="F13">
            <v>0</v>
          </cell>
          <cell r="G13">
            <v>0</v>
          </cell>
          <cell r="H13">
            <v>4717</v>
          </cell>
          <cell r="I13">
            <v>0</v>
          </cell>
          <cell r="J13">
            <v>36</v>
          </cell>
          <cell r="K13">
            <v>1404</v>
          </cell>
          <cell r="L13">
            <v>429</v>
          </cell>
          <cell r="M13">
            <v>0</v>
          </cell>
          <cell r="N13">
            <v>429</v>
          </cell>
          <cell r="O13">
            <v>0</v>
          </cell>
          <cell r="P13">
            <v>0</v>
          </cell>
          <cell r="Q13">
            <v>0</v>
          </cell>
        </row>
        <row r="14">
          <cell r="B14">
            <v>47223</v>
          </cell>
          <cell r="C14">
            <v>46794</v>
          </cell>
          <cell r="D14">
            <v>0</v>
          </cell>
          <cell r="E14">
            <v>40472</v>
          </cell>
          <cell r="F14">
            <v>0</v>
          </cell>
          <cell r="G14">
            <v>0</v>
          </cell>
          <cell r="H14">
            <v>4648</v>
          </cell>
          <cell r="I14">
            <v>0</v>
          </cell>
          <cell r="J14">
            <v>81</v>
          </cell>
          <cell r="K14">
            <v>1592</v>
          </cell>
          <cell r="L14">
            <v>429</v>
          </cell>
          <cell r="M14">
            <v>0</v>
          </cell>
          <cell r="N14">
            <v>429</v>
          </cell>
          <cell r="O14">
            <v>0</v>
          </cell>
          <cell r="P14">
            <v>0</v>
          </cell>
          <cell r="Q14">
            <v>0</v>
          </cell>
        </row>
      </sheetData>
      <sheetData sheetId="44">
        <row r="6">
          <cell r="B6">
            <v>11555525</v>
          </cell>
          <cell r="C6">
            <v>10793003</v>
          </cell>
          <cell r="D6">
            <v>272764</v>
          </cell>
          <cell r="E6">
            <v>9842375</v>
          </cell>
          <cell r="F6">
            <v>59158</v>
          </cell>
          <cell r="G6">
            <v>137</v>
          </cell>
          <cell r="H6">
            <v>420079</v>
          </cell>
          <cell r="I6">
            <v>51113</v>
          </cell>
          <cell r="J6">
            <v>46955</v>
          </cell>
          <cell r="K6">
            <v>100422</v>
          </cell>
          <cell r="L6">
            <v>596901</v>
          </cell>
          <cell r="M6">
            <v>247195</v>
          </cell>
          <cell r="N6">
            <v>349706</v>
          </cell>
          <cell r="O6">
            <v>165621</v>
          </cell>
          <cell r="P6">
            <v>140941</v>
          </cell>
          <cell r="Q6">
            <v>24680</v>
          </cell>
        </row>
        <row r="7">
          <cell r="B7">
            <v>13712299</v>
          </cell>
          <cell r="C7">
            <v>12882206</v>
          </cell>
          <cell r="D7">
            <v>264869</v>
          </cell>
          <cell r="E7">
            <v>11872894</v>
          </cell>
          <cell r="F7">
            <v>74834</v>
          </cell>
          <cell r="G7">
            <v>137</v>
          </cell>
          <cell r="H7">
            <v>444025</v>
          </cell>
          <cell r="I7">
            <v>56967</v>
          </cell>
          <cell r="J7">
            <v>39656</v>
          </cell>
          <cell r="K7">
            <v>128824</v>
          </cell>
          <cell r="L7">
            <v>629296</v>
          </cell>
          <cell r="M7">
            <v>237823</v>
          </cell>
          <cell r="N7">
            <v>391473</v>
          </cell>
          <cell r="O7">
            <v>200797</v>
          </cell>
          <cell r="P7">
            <v>178220</v>
          </cell>
          <cell r="Q7">
            <v>22577</v>
          </cell>
        </row>
        <row r="8">
          <cell r="B8">
            <v>16698819</v>
          </cell>
          <cell r="C8">
            <v>15722151</v>
          </cell>
          <cell r="D8">
            <v>201201</v>
          </cell>
          <cell r="E8">
            <v>14741485</v>
          </cell>
          <cell r="F8">
            <v>88076</v>
          </cell>
          <cell r="G8">
            <v>139</v>
          </cell>
          <cell r="H8">
            <v>427119</v>
          </cell>
          <cell r="I8">
            <v>34351</v>
          </cell>
          <cell r="J8">
            <v>62792</v>
          </cell>
          <cell r="K8">
            <v>166988</v>
          </cell>
          <cell r="L8">
            <v>701591</v>
          </cell>
          <cell r="M8">
            <v>260969</v>
          </cell>
          <cell r="N8">
            <v>440622</v>
          </cell>
          <cell r="O8">
            <v>275077</v>
          </cell>
          <cell r="P8">
            <v>251044</v>
          </cell>
          <cell r="Q8">
            <v>24033</v>
          </cell>
        </row>
        <row r="9">
          <cell r="B9">
            <v>20225256</v>
          </cell>
          <cell r="C9">
            <v>19136400</v>
          </cell>
          <cell r="D9">
            <v>194532</v>
          </cell>
          <cell r="E9">
            <v>18045130</v>
          </cell>
          <cell r="F9">
            <v>98951</v>
          </cell>
          <cell r="G9">
            <v>176</v>
          </cell>
          <cell r="H9">
            <v>440270</v>
          </cell>
          <cell r="I9">
            <v>37783</v>
          </cell>
          <cell r="J9">
            <v>118195</v>
          </cell>
          <cell r="K9">
            <v>201363</v>
          </cell>
          <cell r="L9">
            <v>751899</v>
          </cell>
          <cell r="M9">
            <v>263980</v>
          </cell>
          <cell r="N9">
            <v>487919</v>
          </cell>
          <cell r="O9">
            <v>336957</v>
          </cell>
          <cell r="P9">
            <v>304759</v>
          </cell>
          <cell r="Q9">
            <v>32198</v>
          </cell>
        </row>
        <row r="10">
          <cell r="B10">
            <v>23573134</v>
          </cell>
          <cell r="C10">
            <v>22435551</v>
          </cell>
          <cell r="D10">
            <v>453702</v>
          </cell>
          <cell r="E10">
            <v>21066695</v>
          </cell>
          <cell r="F10">
            <v>92248</v>
          </cell>
          <cell r="G10">
            <v>173</v>
          </cell>
          <cell r="H10">
            <v>452749</v>
          </cell>
          <cell r="I10">
            <v>41891</v>
          </cell>
          <cell r="J10">
            <v>86023</v>
          </cell>
          <cell r="K10">
            <v>242070</v>
          </cell>
          <cell r="L10">
            <v>785564</v>
          </cell>
          <cell r="M10">
            <v>266583</v>
          </cell>
          <cell r="N10">
            <v>518981</v>
          </cell>
          <cell r="O10">
            <v>352019</v>
          </cell>
          <cell r="P10">
            <v>311212</v>
          </cell>
          <cell r="Q10">
            <v>40807</v>
          </cell>
        </row>
        <row r="11">
          <cell r="B11">
            <v>26939715</v>
          </cell>
          <cell r="C11">
            <v>25696564</v>
          </cell>
          <cell r="D11">
            <v>714805</v>
          </cell>
          <cell r="E11">
            <v>24007068</v>
          </cell>
          <cell r="F11">
            <v>93162</v>
          </cell>
          <cell r="G11">
            <v>173</v>
          </cell>
          <cell r="H11">
            <v>472680</v>
          </cell>
          <cell r="I11">
            <v>19652</v>
          </cell>
          <cell r="J11">
            <v>97632</v>
          </cell>
          <cell r="K11">
            <v>291392</v>
          </cell>
          <cell r="L11">
            <v>826261</v>
          </cell>
          <cell r="M11">
            <v>273991</v>
          </cell>
          <cell r="N11">
            <v>552270</v>
          </cell>
          <cell r="O11">
            <v>416890</v>
          </cell>
          <cell r="P11">
            <v>351320</v>
          </cell>
          <cell r="Q11">
            <v>65570</v>
          </cell>
        </row>
        <row r="12">
          <cell r="B12">
            <v>30561589</v>
          </cell>
          <cell r="C12">
            <v>29204164</v>
          </cell>
          <cell r="D12">
            <v>786914</v>
          </cell>
          <cell r="E12">
            <v>27342227</v>
          </cell>
          <cell r="F12">
            <v>97770</v>
          </cell>
          <cell r="G12">
            <v>152</v>
          </cell>
          <cell r="H12">
            <v>491853</v>
          </cell>
          <cell r="I12">
            <v>32226</v>
          </cell>
          <cell r="J12">
            <v>101684</v>
          </cell>
          <cell r="K12">
            <v>351338</v>
          </cell>
          <cell r="L12">
            <v>877982</v>
          </cell>
          <cell r="M12">
            <v>287325</v>
          </cell>
          <cell r="N12">
            <v>590657</v>
          </cell>
          <cell r="O12">
            <v>479443</v>
          </cell>
          <cell r="P12">
            <v>408251</v>
          </cell>
          <cell r="Q12">
            <v>71192</v>
          </cell>
        </row>
        <row r="13">
          <cell r="B13">
            <v>34652073</v>
          </cell>
          <cell r="C13">
            <v>33075540</v>
          </cell>
          <cell r="D13">
            <v>840444</v>
          </cell>
          <cell r="E13">
            <v>31099664</v>
          </cell>
          <cell r="F13">
            <v>71312</v>
          </cell>
          <cell r="G13">
            <v>672</v>
          </cell>
          <cell r="H13">
            <v>477650</v>
          </cell>
          <cell r="I13">
            <v>21076</v>
          </cell>
          <cell r="J13">
            <v>143934</v>
          </cell>
          <cell r="K13">
            <v>420787</v>
          </cell>
          <cell r="L13">
            <v>1066646</v>
          </cell>
          <cell r="M13">
            <v>393146</v>
          </cell>
          <cell r="N13">
            <v>673500</v>
          </cell>
          <cell r="O13">
            <v>509888</v>
          </cell>
          <cell r="P13">
            <v>401676</v>
          </cell>
          <cell r="Q13">
            <v>108211</v>
          </cell>
        </row>
        <row r="14">
          <cell r="B14">
            <v>38124486</v>
          </cell>
          <cell r="C14">
            <v>36484294</v>
          </cell>
          <cell r="D14">
            <v>1344706</v>
          </cell>
          <cell r="E14">
            <v>33911415</v>
          </cell>
          <cell r="F14">
            <v>53658</v>
          </cell>
          <cell r="G14">
            <v>1641</v>
          </cell>
          <cell r="H14">
            <v>476127</v>
          </cell>
          <cell r="I14">
            <v>27792</v>
          </cell>
          <cell r="J14">
            <v>170675</v>
          </cell>
          <cell r="K14">
            <v>498279</v>
          </cell>
          <cell r="L14">
            <v>971172</v>
          </cell>
          <cell r="M14">
            <v>307420</v>
          </cell>
          <cell r="N14">
            <v>663752</v>
          </cell>
          <cell r="O14">
            <v>669020</v>
          </cell>
          <cell r="P14">
            <v>529478</v>
          </cell>
          <cell r="Q14">
            <v>139541</v>
          </cell>
        </row>
      </sheetData>
      <sheetData sheetId="45">
        <row r="6">
          <cell r="B6">
            <v>12703381</v>
          </cell>
          <cell r="C6">
            <v>12409856</v>
          </cell>
          <cell r="D6">
            <v>172203</v>
          </cell>
          <cell r="E6">
            <v>11246782</v>
          </cell>
          <cell r="F6">
            <v>109374</v>
          </cell>
          <cell r="G6">
            <v>652</v>
          </cell>
          <cell r="H6">
            <v>745528</v>
          </cell>
          <cell r="I6">
            <v>40910</v>
          </cell>
          <cell r="J6">
            <v>26750</v>
          </cell>
          <cell r="K6">
            <v>67657</v>
          </cell>
          <cell r="L6">
            <v>222198</v>
          </cell>
          <cell r="M6">
            <v>105744</v>
          </cell>
          <cell r="N6">
            <v>116454</v>
          </cell>
          <cell r="O6">
            <v>71327</v>
          </cell>
          <cell r="P6">
            <v>57972</v>
          </cell>
          <cell r="Q6">
            <v>13355</v>
          </cell>
        </row>
        <row r="7">
          <cell r="B7">
            <v>14054334</v>
          </cell>
          <cell r="C7">
            <v>13743026</v>
          </cell>
          <cell r="D7">
            <v>142468</v>
          </cell>
          <cell r="E7">
            <v>12592616</v>
          </cell>
          <cell r="F7">
            <v>125302</v>
          </cell>
          <cell r="G7">
            <v>652</v>
          </cell>
          <cell r="H7">
            <v>723163</v>
          </cell>
          <cell r="I7">
            <v>44190</v>
          </cell>
          <cell r="J7">
            <v>28034</v>
          </cell>
          <cell r="K7">
            <v>86601</v>
          </cell>
          <cell r="L7">
            <v>243444</v>
          </cell>
          <cell r="M7">
            <v>112908</v>
          </cell>
          <cell r="N7">
            <v>130536</v>
          </cell>
          <cell r="O7">
            <v>67864</v>
          </cell>
          <cell r="P7">
            <v>59677</v>
          </cell>
          <cell r="Q7">
            <v>8187</v>
          </cell>
        </row>
        <row r="8">
          <cell r="B8">
            <v>15984883</v>
          </cell>
          <cell r="C8">
            <v>15626307</v>
          </cell>
          <cell r="D8">
            <v>133498</v>
          </cell>
          <cell r="E8">
            <v>14466221</v>
          </cell>
          <cell r="F8">
            <v>126384</v>
          </cell>
          <cell r="G8">
            <v>774</v>
          </cell>
          <cell r="H8">
            <v>711376</v>
          </cell>
          <cell r="I8">
            <v>54329</v>
          </cell>
          <cell r="J8">
            <v>21514</v>
          </cell>
          <cell r="K8">
            <v>112211</v>
          </cell>
          <cell r="L8">
            <v>272432</v>
          </cell>
          <cell r="M8">
            <v>122431</v>
          </cell>
          <cell r="N8">
            <v>150001</v>
          </cell>
          <cell r="O8">
            <v>86144</v>
          </cell>
          <cell r="P8">
            <v>73307</v>
          </cell>
          <cell r="Q8">
            <v>12837</v>
          </cell>
        </row>
        <row r="9">
          <cell r="B9">
            <v>18310673</v>
          </cell>
          <cell r="C9">
            <v>17943011</v>
          </cell>
          <cell r="D9">
            <v>149489</v>
          </cell>
          <cell r="E9">
            <v>16702254</v>
          </cell>
          <cell r="F9">
            <v>135708</v>
          </cell>
          <cell r="G9">
            <v>896</v>
          </cell>
          <cell r="H9">
            <v>745121</v>
          </cell>
          <cell r="I9">
            <v>46028</v>
          </cell>
          <cell r="J9">
            <v>25577</v>
          </cell>
          <cell r="K9">
            <v>137938</v>
          </cell>
          <cell r="L9">
            <v>282591</v>
          </cell>
          <cell r="M9">
            <v>115968</v>
          </cell>
          <cell r="N9">
            <v>166623</v>
          </cell>
          <cell r="O9">
            <v>85071</v>
          </cell>
          <cell r="P9">
            <v>72326</v>
          </cell>
          <cell r="Q9">
            <v>12745</v>
          </cell>
        </row>
        <row r="10">
          <cell r="B10">
            <v>20486592</v>
          </cell>
          <cell r="C10">
            <v>20053104</v>
          </cell>
          <cell r="D10">
            <v>166474</v>
          </cell>
          <cell r="E10">
            <v>18775728</v>
          </cell>
          <cell r="F10">
            <v>119961</v>
          </cell>
          <cell r="G10">
            <v>894</v>
          </cell>
          <cell r="H10">
            <v>731785</v>
          </cell>
          <cell r="I10">
            <v>51600</v>
          </cell>
          <cell r="J10">
            <v>40609</v>
          </cell>
          <cell r="K10">
            <v>166053</v>
          </cell>
          <cell r="L10">
            <v>350798</v>
          </cell>
          <cell r="M10">
            <v>164049</v>
          </cell>
          <cell r="N10">
            <v>186749</v>
          </cell>
          <cell r="O10">
            <v>82690</v>
          </cell>
          <cell r="P10">
            <v>72827</v>
          </cell>
          <cell r="Q10">
            <v>9863</v>
          </cell>
        </row>
        <row r="11">
          <cell r="B11">
            <v>22445267</v>
          </cell>
          <cell r="C11">
            <v>21992995</v>
          </cell>
          <cell r="D11">
            <v>145844</v>
          </cell>
          <cell r="E11">
            <v>20743014</v>
          </cell>
          <cell r="F11">
            <v>113973</v>
          </cell>
          <cell r="G11">
            <v>1285</v>
          </cell>
          <cell r="H11">
            <v>708654</v>
          </cell>
          <cell r="I11">
            <v>44637</v>
          </cell>
          <cell r="J11">
            <v>39594</v>
          </cell>
          <cell r="K11">
            <v>195994</v>
          </cell>
          <cell r="L11">
            <v>375964</v>
          </cell>
          <cell r="M11">
            <v>165460</v>
          </cell>
          <cell r="N11">
            <v>210504</v>
          </cell>
          <cell r="O11">
            <v>76308</v>
          </cell>
          <cell r="P11">
            <v>65841</v>
          </cell>
          <cell r="Q11">
            <v>10467</v>
          </cell>
        </row>
        <row r="12">
          <cell r="B12">
            <v>24931853</v>
          </cell>
          <cell r="C12">
            <v>24444041</v>
          </cell>
          <cell r="D12">
            <v>134925</v>
          </cell>
          <cell r="E12">
            <v>23129432</v>
          </cell>
          <cell r="F12">
            <v>131681</v>
          </cell>
          <cell r="G12">
            <v>1286</v>
          </cell>
          <cell r="H12">
            <v>713228</v>
          </cell>
          <cell r="I12">
            <v>56580</v>
          </cell>
          <cell r="J12">
            <v>43592</v>
          </cell>
          <cell r="K12">
            <v>233317</v>
          </cell>
          <cell r="L12">
            <v>387182</v>
          </cell>
          <cell r="M12">
            <v>158175</v>
          </cell>
          <cell r="N12">
            <v>229007</v>
          </cell>
          <cell r="O12">
            <v>100630</v>
          </cell>
          <cell r="P12">
            <v>90547</v>
          </cell>
          <cell r="Q12">
            <v>10083</v>
          </cell>
        </row>
        <row r="13">
          <cell r="B13">
            <v>27909447</v>
          </cell>
          <cell r="C13">
            <v>27419209</v>
          </cell>
          <cell r="D13">
            <v>156745</v>
          </cell>
          <cell r="E13">
            <v>26022835</v>
          </cell>
          <cell r="F13">
            <v>131826</v>
          </cell>
          <cell r="G13">
            <v>1488</v>
          </cell>
          <cell r="H13">
            <v>713496</v>
          </cell>
          <cell r="I13">
            <v>63242</v>
          </cell>
          <cell r="J13">
            <v>51714</v>
          </cell>
          <cell r="K13">
            <v>277863</v>
          </cell>
          <cell r="L13">
            <v>398634</v>
          </cell>
          <cell r="M13">
            <v>150631</v>
          </cell>
          <cell r="N13">
            <v>248003</v>
          </cell>
          <cell r="O13">
            <v>91604</v>
          </cell>
          <cell r="P13">
            <v>80026</v>
          </cell>
          <cell r="Q13">
            <v>11578</v>
          </cell>
        </row>
        <row r="14">
          <cell r="B14">
            <v>31008544</v>
          </cell>
          <cell r="C14">
            <v>30448482</v>
          </cell>
          <cell r="D14">
            <v>234965</v>
          </cell>
          <cell r="E14">
            <v>28882815</v>
          </cell>
          <cell r="F14">
            <v>110653</v>
          </cell>
          <cell r="G14">
            <v>1509</v>
          </cell>
          <cell r="H14">
            <v>727578</v>
          </cell>
          <cell r="I14">
            <v>84355</v>
          </cell>
          <cell r="J14">
            <v>80668</v>
          </cell>
          <cell r="K14">
            <v>325939</v>
          </cell>
          <cell r="L14">
            <v>430250</v>
          </cell>
          <cell r="M14">
            <v>161668</v>
          </cell>
          <cell r="N14">
            <v>268582</v>
          </cell>
          <cell r="O14">
            <v>129812</v>
          </cell>
          <cell r="P14">
            <v>114136</v>
          </cell>
          <cell r="Q14">
            <v>15676</v>
          </cell>
        </row>
      </sheetData>
      <sheetData sheetId="46">
        <row r="6">
          <cell r="B6">
            <v>6365157</v>
          </cell>
          <cell r="C6">
            <v>6243275</v>
          </cell>
          <cell r="D6">
            <v>1060332</v>
          </cell>
          <cell r="E6">
            <v>4807946</v>
          </cell>
          <cell r="F6">
            <v>347791</v>
          </cell>
          <cell r="G6">
            <v>4903</v>
          </cell>
          <cell r="H6">
            <v>4710</v>
          </cell>
          <cell r="I6">
            <v>17593</v>
          </cell>
          <cell r="J6">
            <v>110544</v>
          </cell>
          <cell r="K6">
            <v>39465</v>
          </cell>
          <cell r="L6">
            <v>71079</v>
          </cell>
          <cell r="M6">
            <v>11338</v>
          </cell>
          <cell r="N6">
            <v>8302</v>
          </cell>
          <cell r="O6">
            <v>3036</v>
          </cell>
        </row>
        <row r="7">
          <cell r="B7">
            <v>7732868</v>
          </cell>
          <cell r="C7">
            <v>7584739</v>
          </cell>
          <cell r="D7">
            <v>1548178</v>
          </cell>
          <cell r="E7">
            <v>5551002</v>
          </cell>
          <cell r="F7">
            <v>457616</v>
          </cell>
          <cell r="G7">
            <v>4499</v>
          </cell>
          <cell r="H7">
            <v>1246</v>
          </cell>
          <cell r="I7">
            <v>22198</v>
          </cell>
          <cell r="J7">
            <v>117277</v>
          </cell>
          <cell r="K7">
            <v>38776</v>
          </cell>
          <cell r="L7">
            <v>78501</v>
          </cell>
          <cell r="M7">
            <v>30852</v>
          </cell>
          <cell r="N7">
            <v>26588</v>
          </cell>
          <cell r="O7">
            <v>4264</v>
          </cell>
        </row>
        <row r="8">
          <cell r="B8">
            <v>9870832</v>
          </cell>
          <cell r="C8">
            <v>9709854</v>
          </cell>
          <cell r="D8">
            <v>2701573</v>
          </cell>
          <cell r="E8">
            <v>6546124</v>
          </cell>
          <cell r="F8">
            <v>425269</v>
          </cell>
          <cell r="G8">
            <v>5770</v>
          </cell>
          <cell r="H8">
            <v>2587</v>
          </cell>
          <cell r="I8">
            <v>28531</v>
          </cell>
          <cell r="J8">
            <v>126398</v>
          </cell>
          <cell r="K8">
            <v>40606</v>
          </cell>
          <cell r="L8">
            <v>85792</v>
          </cell>
          <cell r="M8">
            <v>34580</v>
          </cell>
          <cell r="N8">
            <v>31030</v>
          </cell>
          <cell r="O8">
            <v>3550</v>
          </cell>
        </row>
        <row r="9">
          <cell r="B9">
            <v>11566206</v>
          </cell>
          <cell r="C9">
            <v>11401119</v>
          </cell>
          <cell r="D9">
            <v>3221671</v>
          </cell>
          <cell r="E9">
            <v>7669989</v>
          </cell>
          <cell r="F9">
            <v>467716</v>
          </cell>
          <cell r="G9">
            <v>6311</v>
          </cell>
          <cell r="H9">
            <v>1250</v>
          </cell>
          <cell r="I9">
            <v>34182</v>
          </cell>
          <cell r="J9">
            <v>140860</v>
          </cell>
          <cell r="K9">
            <v>45052</v>
          </cell>
          <cell r="L9">
            <v>95808</v>
          </cell>
          <cell r="M9">
            <v>24227</v>
          </cell>
          <cell r="N9">
            <v>20147</v>
          </cell>
          <cell r="O9">
            <v>4080</v>
          </cell>
        </row>
        <row r="10">
          <cell r="B10">
            <v>13622218</v>
          </cell>
          <cell r="C10">
            <v>13473071</v>
          </cell>
          <cell r="D10">
            <v>3925368</v>
          </cell>
          <cell r="E10">
            <v>8916841</v>
          </cell>
          <cell r="F10">
            <v>582223</v>
          </cell>
          <cell r="G10">
            <v>6660</v>
          </cell>
          <cell r="H10">
            <v>1696</v>
          </cell>
          <cell r="I10">
            <v>40283</v>
          </cell>
          <cell r="J10">
            <v>131577</v>
          </cell>
          <cell r="K10">
            <v>30124</v>
          </cell>
          <cell r="L10">
            <v>101453</v>
          </cell>
          <cell r="M10">
            <v>17570</v>
          </cell>
          <cell r="N10">
            <v>15526</v>
          </cell>
          <cell r="O10">
            <v>2044</v>
          </cell>
        </row>
        <row r="11">
          <cell r="B11">
            <v>13590001</v>
          </cell>
          <cell r="C11">
            <v>13430100</v>
          </cell>
          <cell r="D11">
            <v>2919958</v>
          </cell>
          <cell r="E11">
            <v>10056670</v>
          </cell>
          <cell r="F11">
            <v>396872</v>
          </cell>
          <cell r="G11">
            <v>6960</v>
          </cell>
          <cell r="H11">
            <v>981</v>
          </cell>
          <cell r="I11">
            <v>48659</v>
          </cell>
          <cell r="J11">
            <v>140158</v>
          </cell>
          <cell r="K11">
            <v>34269</v>
          </cell>
          <cell r="L11">
            <v>105889</v>
          </cell>
          <cell r="M11">
            <v>19743</v>
          </cell>
          <cell r="N11">
            <v>13338</v>
          </cell>
          <cell r="O11">
            <v>6405</v>
          </cell>
        </row>
        <row r="12">
          <cell r="B12">
            <v>14492409</v>
          </cell>
          <cell r="C12">
            <v>14319381</v>
          </cell>
          <cell r="D12">
            <v>2551945</v>
          </cell>
          <cell r="E12">
            <v>11180693</v>
          </cell>
          <cell r="F12">
            <v>520404</v>
          </cell>
          <cell r="G12">
            <v>6979</v>
          </cell>
          <cell r="H12">
            <v>2114</v>
          </cell>
          <cell r="I12">
            <v>57246</v>
          </cell>
          <cell r="J12">
            <v>147505</v>
          </cell>
          <cell r="K12">
            <v>36429</v>
          </cell>
          <cell r="L12">
            <v>111076</v>
          </cell>
          <cell r="M12">
            <v>25523</v>
          </cell>
          <cell r="N12">
            <v>20077</v>
          </cell>
          <cell r="O12">
            <v>5446</v>
          </cell>
        </row>
        <row r="13">
          <cell r="B13">
            <v>15974322</v>
          </cell>
          <cell r="C13">
            <v>15762322</v>
          </cell>
          <cell r="D13">
            <v>2686266</v>
          </cell>
          <cell r="E13">
            <v>12513806</v>
          </cell>
          <cell r="F13">
            <v>483771</v>
          </cell>
          <cell r="G13">
            <v>6961</v>
          </cell>
          <cell r="H13">
            <v>4399</v>
          </cell>
          <cell r="I13">
            <v>67118</v>
          </cell>
          <cell r="J13">
            <v>164862</v>
          </cell>
          <cell r="K13">
            <v>46272</v>
          </cell>
          <cell r="L13">
            <v>118590</v>
          </cell>
          <cell r="M13">
            <v>47138</v>
          </cell>
          <cell r="N13">
            <v>42453</v>
          </cell>
          <cell r="O13">
            <v>4684</v>
          </cell>
        </row>
        <row r="14">
          <cell r="B14">
            <v>17434626</v>
          </cell>
          <cell r="C14">
            <v>17228280</v>
          </cell>
          <cell r="D14">
            <v>3082470</v>
          </cell>
          <cell r="E14">
            <v>13789150</v>
          </cell>
          <cell r="F14">
            <v>261138</v>
          </cell>
          <cell r="G14">
            <v>6958</v>
          </cell>
          <cell r="H14">
            <v>8352</v>
          </cell>
          <cell r="I14">
            <v>80212</v>
          </cell>
          <cell r="J14">
            <v>155737</v>
          </cell>
          <cell r="K14">
            <v>32078</v>
          </cell>
          <cell r="L14">
            <v>123659</v>
          </cell>
          <cell r="M14">
            <v>50609</v>
          </cell>
          <cell r="N14">
            <v>48044</v>
          </cell>
          <cell r="O14">
            <v>2565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比較表"/>
    </sheetNames>
    <sheetDataSet>
      <sheetData sheetId="0">
        <row r="9">
          <cell r="F9">
            <v>84259446512</v>
          </cell>
          <cell r="G9">
            <v>14.14</v>
          </cell>
          <cell r="K9">
            <v>6.05</v>
          </cell>
        </row>
        <row r="10">
          <cell r="F10">
            <v>3343246420</v>
          </cell>
          <cell r="G10">
            <v>0.56000000000000005</v>
          </cell>
          <cell r="K10">
            <v>6.05</v>
          </cell>
        </row>
        <row r="11">
          <cell r="F11">
            <v>1094758922</v>
          </cell>
          <cell r="G11">
            <v>0.18</v>
          </cell>
          <cell r="K11">
            <v>6.02</v>
          </cell>
        </row>
        <row r="12">
          <cell r="F12">
            <v>8481545058</v>
          </cell>
          <cell r="G12">
            <v>1.42</v>
          </cell>
          <cell r="K12">
            <v>6.02</v>
          </cell>
        </row>
        <row r="13">
          <cell r="F13">
            <v>54085408902</v>
          </cell>
          <cell r="G13">
            <v>9.08</v>
          </cell>
          <cell r="K13">
            <v>0.48</v>
          </cell>
        </row>
        <row r="14">
          <cell r="F14">
            <v>51279367244</v>
          </cell>
          <cell r="G14">
            <v>8.61</v>
          </cell>
          <cell r="K14">
            <v>0.37</v>
          </cell>
        </row>
        <row r="15">
          <cell r="F15">
            <v>45744618103</v>
          </cell>
          <cell r="G15">
            <v>7.68</v>
          </cell>
          <cell r="K15">
            <v>0.98</v>
          </cell>
        </row>
        <row r="16">
          <cell r="F16">
            <v>0</v>
          </cell>
          <cell r="G16">
            <v>0</v>
          </cell>
          <cell r="K16">
            <v>0.98</v>
          </cell>
        </row>
        <row r="17">
          <cell r="F17">
            <v>0</v>
          </cell>
          <cell r="G17">
            <v>0</v>
          </cell>
          <cell r="K17">
            <v>0.98</v>
          </cell>
        </row>
        <row r="18">
          <cell r="F18">
            <v>21587833283</v>
          </cell>
          <cell r="G18">
            <v>3.62</v>
          </cell>
          <cell r="K18">
            <v>0.83</v>
          </cell>
        </row>
        <row r="19">
          <cell r="F19">
            <v>0</v>
          </cell>
          <cell r="G19">
            <v>0</v>
          </cell>
          <cell r="K19">
            <v>1.7</v>
          </cell>
        </row>
        <row r="20">
          <cell r="F20">
            <v>71666346986</v>
          </cell>
          <cell r="G20">
            <v>12.03</v>
          </cell>
          <cell r="K20">
            <v>2.74</v>
          </cell>
        </row>
        <row r="21">
          <cell r="F21">
            <v>54702932696</v>
          </cell>
          <cell r="G21">
            <v>9.18</v>
          </cell>
          <cell r="K21">
            <v>5.29</v>
          </cell>
        </row>
        <row r="22">
          <cell r="F22">
            <v>1393376656</v>
          </cell>
          <cell r="G22">
            <v>0.24</v>
          </cell>
        </row>
        <row r="23">
          <cell r="F23">
            <v>122183285001</v>
          </cell>
          <cell r="G23">
            <v>20.52</v>
          </cell>
          <cell r="K23">
            <v>4.8899999999999997</v>
          </cell>
        </row>
        <row r="24">
          <cell r="F24">
            <v>44113695295</v>
          </cell>
          <cell r="G24">
            <v>7.4</v>
          </cell>
        </row>
        <row r="25">
          <cell r="F25">
            <v>31841618961</v>
          </cell>
          <cell r="G25">
            <v>5.34</v>
          </cell>
        </row>
        <row r="26">
          <cell r="F26">
            <v>595777480039</v>
          </cell>
          <cell r="G26">
            <v>100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09(4)"/>
      <sheetName val="109(3)"/>
      <sheetName val="109(2)"/>
      <sheetName val="109(1)"/>
      <sheetName val="108(12)"/>
      <sheetName val="108(11)"/>
      <sheetName val="108(10)"/>
      <sheetName val="108(9)"/>
      <sheetName val="108(8)"/>
      <sheetName val="108(7)"/>
      <sheetName val="108(6)"/>
      <sheetName val="108(5)"/>
      <sheetName val="108(4)"/>
      <sheetName val="108(3)"/>
      <sheetName val="108(2)"/>
      <sheetName val="108(1)"/>
      <sheetName val="107(12)"/>
      <sheetName val="107(11)"/>
      <sheetName val="107(10)"/>
      <sheetName val="107(9)"/>
      <sheetName val="107(8)"/>
      <sheetName val="107(7)"/>
      <sheetName val="107(6)"/>
      <sheetName val="107(5)"/>
      <sheetName val="107(4)"/>
      <sheetName val="107(3)"/>
      <sheetName val="107(2)"/>
      <sheetName val="107(1)"/>
      <sheetName val="106(12)"/>
      <sheetName val="106(11)"/>
      <sheetName val="106(10)"/>
      <sheetName val="106(9)"/>
      <sheetName val="106(8)"/>
      <sheetName val="106(7)"/>
      <sheetName val="106(6)"/>
      <sheetName val="106(5)"/>
      <sheetName val="106(4)"/>
      <sheetName val="106(3)"/>
      <sheetName val="106(2)"/>
      <sheetName val="106(1)"/>
    </sheetNames>
    <sheetDataSet>
      <sheetData sheetId="0"/>
      <sheetData sheetId="1"/>
      <sheetData sheetId="2"/>
      <sheetData sheetId="3"/>
      <sheetData sheetId="4">
        <row r="31">
          <cell r="K31">
            <v>58459094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已實未實%"/>
      <sheetName val="85-10812孳息分配(已實現)(含國庫撥補)，先做"/>
      <sheetName val="85-10812孳息分配(已實現) (不含國庫撥補)"/>
    </sheetNames>
    <sheetDataSet>
      <sheetData sheetId="0"/>
      <sheetData sheetId="1">
        <row r="225">
          <cell r="G225">
            <v>280354685733</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機關數-OK"/>
      <sheetName val="2人數-OK"/>
      <sheetName val="3歷年退休-OK"/>
      <sheetName val="4歷年撫卹-OK"/>
      <sheetName val="5歷年離退-OK"/>
      <sheetName val="6歷年退離(政)-OK"/>
      <sheetName val="7歷年退離(公)-OK"/>
      <sheetName val="8歷年退離(教)-OK"/>
      <sheetName val="9歷年退離(軍)-OK"/>
      <sheetName val="10當年退離(政)-OK-1"/>
      <sheetName val="11當年退離(公)-OK-1"/>
      <sheetName val="12當年退離(教)-1"/>
      <sheetName val="13當年退休-OK"/>
      <sheetName val="14退休(政)-OK"/>
      <sheetName val="15退休(公)-OK"/>
      <sheetName val="16退休(教)-OK"/>
      <sheetName val="17退伍(軍"/>
      <sheetName val="18當年撫卹(總)-OK"/>
      <sheetName val="19撫卹(政)-OK"/>
      <sheetName val="20撫卹(公)-OK"/>
      <sheetName val="21撫卹(教)-OK"/>
      <sheetName val="22撫卹(軍)-OK"/>
      <sheetName val="23當年離退"/>
      <sheetName val="24退休平均俸額-OK"/>
      <sheetName val="25撫卹平均俸額-OK"/>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0"/>
      <sheetName val="41支出(公)(政府別)-0"/>
      <sheetName val="42支出(教)(政府別)-0"/>
      <sheetName val="43支出(總)-0"/>
      <sheetName val="44支出(政)-0"/>
      <sheetName val="45支出(公)-0"/>
      <sheetName val="46支出(教)-OK  "/>
      <sheetName val="47支出(軍)-OK"/>
      <sheetName val="48定撥(歷年)-OK"/>
      <sheetName val="49定撥(當年度)-OK"/>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refreshError="1">
        <row r="11">
          <cell r="B11">
            <v>7894</v>
          </cell>
          <cell r="C11">
            <v>1111</v>
          </cell>
          <cell r="D11">
            <v>2118</v>
          </cell>
          <cell r="E11">
            <v>3200</v>
          </cell>
          <cell r="F11">
            <v>1294</v>
          </cell>
          <cell r="G11">
            <v>171</v>
          </cell>
        </row>
        <row r="12">
          <cell r="B12">
            <v>7736</v>
          </cell>
          <cell r="C12">
            <v>1108</v>
          </cell>
          <cell r="D12">
            <v>2495</v>
          </cell>
          <cell r="E12">
            <v>2902</v>
          </cell>
          <cell r="F12">
            <v>1063</v>
          </cell>
          <cell r="G12">
            <v>168</v>
          </cell>
        </row>
        <row r="13">
          <cell r="B13">
            <v>7970</v>
          </cell>
          <cell r="C13">
            <v>1369</v>
          </cell>
          <cell r="D13">
            <v>2493</v>
          </cell>
          <cell r="E13">
            <v>2874</v>
          </cell>
          <cell r="F13">
            <v>1057</v>
          </cell>
          <cell r="G13">
            <v>177</v>
          </cell>
        </row>
        <row r="14">
          <cell r="B14">
            <v>7623</v>
          </cell>
          <cell r="C14">
            <v>1059</v>
          </cell>
          <cell r="D14">
            <v>2513</v>
          </cell>
          <cell r="E14">
            <v>2838</v>
          </cell>
          <cell r="F14">
            <v>1057</v>
          </cell>
          <cell r="G14">
            <v>156</v>
          </cell>
        </row>
        <row r="15">
          <cell r="B15">
            <v>7637</v>
          </cell>
          <cell r="C15">
            <v>1032</v>
          </cell>
          <cell r="D15">
            <v>2543</v>
          </cell>
          <cell r="E15">
            <v>2849</v>
          </cell>
          <cell r="F15">
            <v>1064</v>
          </cell>
          <cell r="G15">
            <v>149</v>
          </cell>
        </row>
        <row r="16">
          <cell r="B16">
            <v>7260</v>
          </cell>
          <cell r="C16">
            <v>971</v>
          </cell>
          <cell r="D16">
            <v>2895</v>
          </cell>
          <cell r="E16">
            <v>2485</v>
          </cell>
          <cell r="F16">
            <v>767</v>
          </cell>
          <cell r="G16">
            <v>142</v>
          </cell>
        </row>
        <row r="17">
          <cell r="B17">
            <v>7265</v>
          </cell>
          <cell r="C17">
            <v>972</v>
          </cell>
          <cell r="D17">
            <v>2895</v>
          </cell>
          <cell r="E17">
            <v>2494</v>
          </cell>
          <cell r="F17">
            <v>760</v>
          </cell>
          <cell r="G17">
            <v>144</v>
          </cell>
        </row>
        <row r="18">
          <cell r="B18">
            <v>7212</v>
          </cell>
          <cell r="C18">
            <v>945</v>
          </cell>
          <cell r="D18">
            <v>2901</v>
          </cell>
          <cell r="E18">
            <v>2472</v>
          </cell>
          <cell r="F18">
            <v>752</v>
          </cell>
          <cell r="G18">
            <v>142</v>
          </cell>
        </row>
        <row r="19">
          <cell r="B19">
            <v>7157</v>
          </cell>
          <cell r="C19">
            <v>915</v>
          </cell>
          <cell r="D19">
            <v>2898</v>
          </cell>
          <cell r="E19">
            <v>2453</v>
          </cell>
          <cell r="F19">
            <v>750</v>
          </cell>
          <cell r="G19">
            <v>141</v>
          </cell>
        </row>
      </sheetData>
      <sheetData sheetId="1" refreshError="1">
        <row r="12">
          <cell r="B12">
            <v>640082</v>
          </cell>
          <cell r="C12">
            <v>0</v>
          </cell>
          <cell r="D12">
            <v>293861</v>
          </cell>
          <cell r="E12">
            <v>196840</v>
          </cell>
          <cell r="F12">
            <v>149381</v>
          </cell>
          <cell r="G12">
            <v>306813</v>
          </cell>
          <cell r="H12">
            <v>0</v>
          </cell>
          <cell r="I12">
            <v>116150</v>
          </cell>
          <cell r="J12">
            <v>41282</v>
          </cell>
          <cell r="K12">
            <v>149381</v>
          </cell>
          <cell r="L12">
            <v>164534</v>
          </cell>
          <cell r="M12">
            <v>0</v>
          </cell>
          <cell r="N12">
            <v>81069</v>
          </cell>
          <cell r="O12">
            <v>83465</v>
          </cell>
          <cell r="P12">
            <v>132181</v>
          </cell>
          <cell r="Q12">
            <v>0</v>
          </cell>
          <cell r="R12">
            <v>60088</v>
          </cell>
          <cell r="S12">
            <v>72093</v>
          </cell>
          <cell r="T12">
            <v>13242</v>
          </cell>
          <cell r="U12">
            <v>13242</v>
          </cell>
          <cell r="V12">
            <v>0</v>
          </cell>
          <cell r="W12">
            <v>23312</v>
          </cell>
          <cell r="X12">
            <v>0</v>
          </cell>
          <cell r="Y12">
            <v>23312</v>
          </cell>
        </row>
        <row r="13">
          <cell r="B13">
            <v>631690</v>
          </cell>
          <cell r="C13">
            <v>0</v>
          </cell>
          <cell r="D13">
            <v>291487</v>
          </cell>
          <cell r="E13">
            <v>194064</v>
          </cell>
          <cell r="F13">
            <v>146139</v>
          </cell>
          <cell r="G13">
            <v>301688</v>
          </cell>
          <cell r="H13">
            <v>0</v>
          </cell>
          <cell r="I13">
            <v>114412</v>
          </cell>
          <cell r="J13">
            <v>41137</v>
          </cell>
          <cell r="K13">
            <v>146139</v>
          </cell>
          <cell r="L13">
            <v>179498</v>
          </cell>
          <cell r="M13">
            <v>0</v>
          </cell>
          <cell r="N13">
            <v>89497</v>
          </cell>
          <cell r="O13">
            <v>90001</v>
          </cell>
          <cell r="P13">
            <v>116180</v>
          </cell>
          <cell r="Q13">
            <v>0</v>
          </cell>
          <cell r="R13">
            <v>53254</v>
          </cell>
          <cell r="S13">
            <v>62926</v>
          </cell>
          <cell r="T13">
            <v>11464</v>
          </cell>
          <cell r="U13">
            <v>11464</v>
          </cell>
          <cell r="V13">
            <v>0</v>
          </cell>
          <cell r="W13">
            <v>22860</v>
          </cell>
          <cell r="X13">
            <v>0</v>
          </cell>
          <cell r="Y13">
            <v>22860</v>
          </cell>
        </row>
        <row r="14">
          <cell r="B14">
            <v>627163</v>
          </cell>
          <cell r="C14">
            <v>0</v>
          </cell>
          <cell r="D14">
            <v>292326</v>
          </cell>
          <cell r="E14">
            <v>193083</v>
          </cell>
          <cell r="F14">
            <v>141754</v>
          </cell>
          <cell r="G14">
            <v>297118</v>
          </cell>
          <cell r="H14">
            <v>0</v>
          </cell>
          <cell r="I14">
            <v>115000</v>
          </cell>
          <cell r="J14">
            <v>40364</v>
          </cell>
          <cell r="K14">
            <v>141754</v>
          </cell>
          <cell r="L14">
            <v>180258</v>
          </cell>
          <cell r="M14">
            <v>0</v>
          </cell>
          <cell r="N14">
            <v>90213</v>
          </cell>
          <cell r="O14">
            <v>90045</v>
          </cell>
          <cell r="P14">
            <v>116228</v>
          </cell>
          <cell r="Q14">
            <v>0</v>
          </cell>
          <cell r="R14">
            <v>53554</v>
          </cell>
          <cell r="S14">
            <v>62674</v>
          </cell>
          <cell r="T14">
            <v>11426</v>
          </cell>
          <cell r="U14">
            <v>11426</v>
          </cell>
          <cell r="V14">
            <v>0</v>
          </cell>
          <cell r="W14">
            <v>22133</v>
          </cell>
          <cell r="X14">
            <v>0</v>
          </cell>
          <cell r="Y14">
            <v>22133</v>
          </cell>
        </row>
        <row r="15">
          <cell r="B15">
            <v>622197</v>
          </cell>
          <cell r="C15">
            <v>0</v>
          </cell>
          <cell r="D15">
            <v>293535</v>
          </cell>
          <cell r="E15">
            <v>192275</v>
          </cell>
          <cell r="F15">
            <v>136387</v>
          </cell>
          <cell r="G15">
            <v>290899</v>
          </cell>
          <cell r="H15">
            <v>0</v>
          </cell>
          <cell r="I15">
            <v>115110</v>
          </cell>
          <cell r="J15">
            <v>39402</v>
          </cell>
          <cell r="K15">
            <v>136387</v>
          </cell>
          <cell r="L15">
            <v>181474</v>
          </cell>
          <cell r="M15">
            <v>0</v>
          </cell>
          <cell r="N15">
            <v>91183</v>
          </cell>
          <cell r="O15">
            <v>90291</v>
          </cell>
          <cell r="P15">
            <v>116537</v>
          </cell>
          <cell r="Q15">
            <v>0</v>
          </cell>
          <cell r="R15">
            <v>53955</v>
          </cell>
          <cell r="S15">
            <v>62582</v>
          </cell>
          <cell r="T15">
            <v>11357</v>
          </cell>
          <cell r="U15">
            <v>11357</v>
          </cell>
          <cell r="V15">
            <v>0</v>
          </cell>
          <cell r="W15">
            <v>21930</v>
          </cell>
          <cell r="X15">
            <v>0</v>
          </cell>
          <cell r="Y15">
            <v>21930</v>
          </cell>
        </row>
        <row r="16">
          <cell r="B16">
            <v>624993</v>
          </cell>
          <cell r="C16">
            <v>0</v>
          </cell>
          <cell r="D16">
            <v>289833</v>
          </cell>
          <cell r="E16">
            <v>191541</v>
          </cell>
          <cell r="F16">
            <v>143619</v>
          </cell>
          <cell r="G16">
            <v>297737</v>
          </cell>
          <cell r="H16">
            <v>0</v>
          </cell>
          <cell r="I16">
            <v>114954</v>
          </cell>
          <cell r="J16">
            <v>39164</v>
          </cell>
          <cell r="K16">
            <v>143619</v>
          </cell>
          <cell r="L16">
            <v>180572</v>
          </cell>
          <cell r="M16">
            <v>0</v>
          </cell>
          <cell r="N16">
            <v>90025</v>
          </cell>
          <cell r="O16">
            <v>90547</v>
          </cell>
          <cell r="P16">
            <v>114361</v>
          </cell>
          <cell r="Q16">
            <v>0</v>
          </cell>
          <cell r="R16">
            <v>52532</v>
          </cell>
          <cell r="S16">
            <v>61829</v>
          </cell>
          <cell r="T16">
            <v>11128</v>
          </cell>
          <cell r="U16">
            <v>11127</v>
          </cell>
          <cell r="V16">
            <v>1</v>
          </cell>
          <cell r="W16">
            <v>21195</v>
          </cell>
          <cell r="X16">
            <v>0</v>
          </cell>
          <cell r="Y16">
            <v>21195</v>
          </cell>
        </row>
        <row r="17">
          <cell r="B17">
            <v>629566</v>
          </cell>
          <cell r="C17">
            <v>0</v>
          </cell>
          <cell r="D17">
            <v>288415</v>
          </cell>
          <cell r="E17">
            <v>188947</v>
          </cell>
          <cell r="F17">
            <v>152204</v>
          </cell>
          <cell r="G17">
            <v>305471</v>
          </cell>
          <cell r="H17">
            <v>0</v>
          </cell>
          <cell r="I17">
            <v>114452</v>
          </cell>
          <cell r="J17">
            <v>38815</v>
          </cell>
          <cell r="K17">
            <v>152204</v>
          </cell>
          <cell r="L17">
            <v>201291</v>
          </cell>
          <cell r="M17">
            <v>0</v>
          </cell>
          <cell r="N17">
            <v>99264</v>
          </cell>
          <cell r="O17">
            <v>102027</v>
          </cell>
          <cell r="P17">
            <v>92289</v>
          </cell>
          <cell r="Q17">
            <v>0</v>
          </cell>
          <cell r="R17">
            <v>44185</v>
          </cell>
          <cell r="S17">
            <v>48104</v>
          </cell>
          <cell r="T17">
            <v>10030</v>
          </cell>
          <cell r="U17">
            <v>10029</v>
          </cell>
          <cell r="V17">
            <v>1</v>
          </cell>
          <cell r="W17">
            <v>20485</v>
          </cell>
          <cell r="X17">
            <v>0</v>
          </cell>
          <cell r="Y17">
            <v>20485</v>
          </cell>
        </row>
        <row r="18">
          <cell r="B18">
            <v>634666</v>
          </cell>
          <cell r="C18">
            <v>0</v>
          </cell>
          <cell r="D18">
            <v>289257</v>
          </cell>
          <cell r="E18">
            <v>185810</v>
          </cell>
          <cell r="F18">
            <v>159599</v>
          </cell>
          <cell r="G18">
            <v>312016</v>
          </cell>
          <cell r="H18">
            <v>0</v>
          </cell>
          <cell r="I18">
            <v>114508</v>
          </cell>
          <cell r="J18">
            <v>37909</v>
          </cell>
          <cell r="K18">
            <v>159599</v>
          </cell>
          <cell r="L18">
            <v>201251</v>
          </cell>
          <cell r="M18">
            <v>0</v>
          </cell>
          <cell r="N18">
            <v>100181</v>
          </cell>
          <cell r="O18">
            <v>101070</v>
          </cell>
          <cell r="P18">
            <v>91230</v>
          </cell>
          <cell r="Q18">
            <v>0</v>
          </cell>
          <cell r="R18">
            <v>44400</v>
          </cell>
          <cell r="S18">
            <v>46830</v>
          </cell>
          <cell r="T18">
            <v>9963</v>
          </cell>
          <cell r="U18">
            <v>9962</v>
          </cell>
          <cell r="V18">
            <v>1</v>
          </cell>
          <cell r="W18">
            <v>20206</v>
          </cell>
          <cell r="X18">
            <v>0</v>
          </cell>
          <cell r="Y18">
            <v>20206</v>
          </cell>
        </row>
        <row r="19">
          <cell r="B19">
            <v>639412</v>
          </cell>
          <cell r="C19">
            <v>0</v>
          </cell>
          <cell r="D19">
            <v>293829</v>
          </cell>
          <cell r="E19">
            <v>183372</v>
          </cell>
          <cell r="F19">
            <v>162211</v>
          </cell>
          <cell r="G19">
            <v>313319</v>
          </cell>
          <cell r="H19">
            <v>0</v>
          </cell>
          <cell r="I19">
            <v>115176</v>
          </cell>
          <cell r="J19">
            <v>35932</v>
          </cell>
          <cell r="K19">
            <v>162211</v>
          </cell>
          <cell r="L19">
            <v>204481</v>
          </cell>
          <cell r="M19">
            <v>0</v>
          </cell>
          <cell r="N19">
            <v>102835</v>
          </cell>
          <cell r="O19">
            <v>101646</v>
          </cell>
          <cell r="P19">
            <v>91245</v>
          </cell>
          <cell r="Q19">
            <v>0</v>
          </cell>
          <cell r="R19">
            <v>45452</v>
          </cell>
          <cell r="S19">
            <v>45793</v>
          </cell>
          <cell r="T19">
            <v>9978</v>
          </cell>
          <cell r="U19">
            <v>9977</v>
          </cell>
          <cell r="V19">
            <v>1</v>
          </cell>
          <cell r="W19">
            <v>20389</v>
          </cell>
          <cell r="X19">
            <v>0</v>
          </cell>
          <cell r="Y19">
            <v>20389</v>
          </cell>
        </row>
        <row r="20">
          <cell r="B20">
            <v>651186</v>
          </cell>
          <cell r="C20">
            <v>0</v>
          </cell>
          <cell r="D20">
            <v>297704</v>
          </cell>
          <cell r="E20">
            <v>182664</v>
          </cell>
          <cell r="F20">
            <v>170818</v>
          </cell>
          <cell r="G20">
            <v>321579</v>
          </cell>
          <cell r="H20">
            <v>0</v>
          </cell>
          <cell r="I20">
            <v>115594</v>
          </cell>
          <cell r="J20">
            <v>35167</v>
          </cell>
          <cell r="K20">
            <v>170818</v>
          </cell>
          <cell r="L20">
            <v>206909</v>
          </cell>
          <cell r="M20">
            <v>0</v>
          </cell>
          <cell r="N20">
            <v>104820</v>
          </cell>
          <cell r="O20">
            <v>102089</v>
          </cell>
          <cell r="P20">
            <v>92006</v>
          </cell>
          <cell r="Q20">
            <v>0</v>
          </cell>
          <cell r="R20">
            <v>46599</v>
          </cell>
          <cell r="S20">
            <v>45407</v>
          </cell>
          <cell r="T20">
            <v>9837</v>
          </cell>
          <cell r="U20">
            <v>9836</v>
          </cell>
          <cell r="V20">
            <v>1</v>
          </cell>
          <cell r="W20">
            <v>20855</v>
          </cell>
          <cell r="X20">
            <v>0</v>
          </cell>
          <cell r="Y20">
            <v>20855</v>
          </cell>
        </row>
      </sheetData>
      <sheetData sheetId="2" refreshError="1">
        <row r="15">
          <cell r="B15">
            <v>20735</v>
          </cell>
          <cell r="C15">
            <v>20711</v>
          </cell>
          <cell r="D15">
            <v>9795</v>
          </cell>
          <cell r="E15">
            <v>10853</v>
          </cell>
          <cell r="F15">
            <v>63</v>
          </cell>
          <cell r="G15">
            <v>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B6">
            <v>0</v>
          </cell>
          <cell r="C6">
            <v>0</v>
          </cell>
          <cell r="D6">
            <v>31222.597600000001</v>
          </cell>
          <cell r="E6">
            <v>42.575099999999999</v>
          </cell>
          <cell r="F6">
            <v>36617.0769</v>
          </cell>
          <cell r="G6">
            <v>40.911700000000003</v>
          </cell>
          <cell r="H6">
            <v>20900.263299999999</v>
          </cell>
          <cell r="I6">
            <v>28.207999999999998</v>
          </cell>
        </row>
        <row r="7">
          <cell r="B7">
            <v>0</v>
          </cell>
          <cell r="C7">
            <v>0</v>
          </cell>
          <cell r="D7">
            <v>32279.4146772313</v>
          </cell>
          <cell r="E7">
            <v>42.569002538245201</v>
          </cell>
          <cell r="F7">
            <v>38318.1685655541</v>
          </cell>
          <cell r="G7">
            <v>41.310098371130699</v>
          </cell>
          <cell r="H7">
            <v>21937.7458718241</v>
          </cell>
          <cell r="I7">
            <v>28.574602281306198</v>
          </cell>
        </row>
        <row r="8">
          <cell r="B8">
            <v>0</v>
          </cell>
          <cell r="C8">
            <v>0</v>
          </cell>
          <cell r="D8">
            <v>32293</v>
          </cell>
          <cell r="E8">
            <v>42.5</v>
          </cell>
          <cell r="F8">
            <v>38749</v>
          </cell>
          <cell r="G8">
            <v>41.63</v>
          </cell>
          <cell r="H8">
            <v>22161</v>
          </cell>
          <cell r="I8">
            <v>28.88</v>
          </cell>
        </row>
        <row r="9">
          <cell r="B9">
            <v>0</v>
          </cell>
          <cell r="C9">
            <v>0</v>
          </cell>
          <cell r="D9">
            <v>32346.592361564799</v>
          </cell>
          <cell r="E9">
            <v>42.498111319830102</v>
          </cell>
          <cell r="F9">
            <v>39244.2719335195</v>
          </cell>
          <cell r="G9">
            <v>42.029199623499103</v>
          </cell>
          <cell r="H9">
            <v>22179.036985422601</v>
          </cell>
          <cell r="I9">
            <v>29.010477728375399</v>
          </cell>
        </row>
        <row r="10">
          <cell r="B10">
            <v>0</v>
          </cell>
          <cell r="C10">
            <v>0</v>
          </cell>
          <cell r="D10">
            <v>32571.4643099768</v>
          </cell>
          <cell r="E10">
            <v>42.7766800122766</v>
          </cell>
          <cell r="F10">
            <v>39736.518725369897</v>
          </cell>
          <cell r="G10">
            <v>42.437967481796598</v>
          </cell>
          <cell r="H10">
            <v>21510.350906555101</v>
          </cell>
          <cell r="I10">
            <v>28.737880055788001</v>
          </cell>
        </row>
        <row r="11">
          <cell r="B11">
            <v>0</v>
          </cell>
          <cell r="C11">
            <v>0</v>
          </cell>
          <cell r="D11">
            <v>32611.607766922902</v>
          </cell>
          <cell r="E11">
            <v>42.722448767113796</v>
          </cell>
          <cell r="F11">
            <v>40222.372829785301</v>
          </cell>
          <cell r="G11">
            <v>42.807137300969899</v>
          </cell>
          <cell r="H11">
            <v>20629.185359516399</v>
          </cell>
          <cell r="I11">
            <v>28.354130488712499</v>
          </cell>
        </row>
        <row r="12">
          <cell r="B12">
            <v>0</v>
          </cell>
          <cell r="C12">
            <v>0</v>
          </cell>
          <cell r="D12">
            <v>32614.0124549623</v>
          </cell>
          <cell r="E12">
            <v>41.694576800990298</v>
          </cell>
          <cell r="F12">
            <v>40693.256342651097</v>
          </cell>
          <cell r="G12">
            <v>42.181457666334801</v>
          </cell>
          <cell r="H12">
            <v>20123.6225210021</v>
          </cell>
          <cell r="I12">
            <v>27.225711937461199</v>
          </cell>
        </row>
        <row r="13">
          <cell r="B13">
            <v>0</v>
          </cell>
          <cell r="C13">
            <v>0</v>
          </cell>
          <cell r="D13">
            <v>32598.5666964292</v>
          </cell>
          <cell r="E13">
            <v>42.770994499614901</v>
          </cell>
          <cell r="F13">
            <v>41195.784619580001</v>
          </cell>
          <cell r="G13">
            <v>43.638854649577297</v>
          </cell>
          <cell r="H13">
            <v>20108.498925340398</v>
          </cell>
          <cell r="I13">
            <v>28.432333396971199</v>
          </cell>
        </row>
        <row r="14">
          <cell r="B14">
            <v>0</v>
          </cell>
          <cell r="C14">
            <v>0</v>
          </cell>
          <cell r="D14">
            <v>33619.641340215203</v>
          </cell>
          <cell r="E14">
            <v>42.867628379604398</v>
          </cell>
          <cell r="F14">
            <v>43005.8546046868</v>
          </cell>
          <cell r="G14">
            <v>44.146046868155899</v>
          </cell>
          <cell r="H14">
            <v>20656.438693435</v>
          </cell>
          <cell r="I14">
            <v>28.584134067769899</v>
          </cell>
        </row>
      </sheetData>
      <sheetData sheetId="26" refreshError="1">
        <row r="7">
          <cell r="B7">
            <v>71980</v>
          </cell>
          <cell r="C7">
            <v>55</v>
          </cell>
          <cell r="D7">
            <v>37827.567999999999</v>
          </cell>
          <cell r="E7">
            <v>55.1629</v>
          </cell>
          <cell r="F7">
            <v>45471.904799999997</v>
          </cell>
          <cell r="G7">
            <v>53.963799999999999</v>
          </cell>
          <cell r="H7">
            <v>27389.948700000001</v>
          </cell>
          <cell r="I7">
            <v>34.3249</v>
          </cell>
        </row>
        <row r="8">
          <cell r="B8">
            <v>95250</v>
          </cell>
          <cell r="C8">
            <v>63</v>
          </cell>
          <cell r="D8">
            <v>38460.474900000001</v>
          </cell>
          <cell r="E8">
            <v>55.196199999999997</v>
          </cell>
          <cell r="F8">
            <v>46620.086300000003</v>
          </cell>
          <cell r="G8">
            <v>53.987099999999998</v>
          </cell>
          <cell r="H8">
            <v>21755.929499999998</v>
          </cell>
          <cell r="I8">
            <v>29.910399999999999</v>
          </cell>
        </row>
        <row r="9">
          <cell r="B9">
            <v>95250</v>
          </cell>
          <cell r="C9">
            <v>67.5</v>
          </cell>
          <cell r="D9">
            <v>38955</v>
          </cell>
          <cell r="E9">
            <v>55.29</v>
          </cell>
          <cell r="F9">
            <v>47068</v>
          </cell>
          <cell r="G9">
            <v>54.03</v>
          </cell>
          <cell r="H9">
            <v>21398.504026086401</v>
          </cell>
          <cell r="I9">
            <v>29.657416650029901</v>
          </cell>
        </row>
        <row r="10">
          <cell r="B10">
            <v>0</v>
          </cell>
          <cell r="C10">
            <v>0</v>
          </cell>
          <cell r="D10">
            <v>38633.926752241197</v>
          </cell>
          <cell r="E10">
            <v>55.4429502852486</v>
          </cell>
          <cell r="F10">
            <v>47153.2083253405</v>
          </cell>
          <cell r="G10">
            <v>54.011893343564203</v>
          </cell>
          <cell r="H10">
            <v>21679.472127883801</v>
          </cell>
          <cell r="I10">
            <v>30.017566459772802</v>
          </cell>
        </row>
        <row r="11">
          <cell r="B11">
            <v>95250</v>
          </cell>
          <cell r="C11">
            <v>69</v>
          </cell>
          <cell r="D11">
            <v>38805.8466783759</v>
          </cell>
          <cell r="E11">
            <v>55.612563281330701</v>
          </cell>
          <cell r="F11">
            <v>47260.851615476698</v>
          </cell>
          <cell r="G11">
            <v>54.045073793378499</v>
          </cell>
          <cell r="H11">
            <v>21947.078080520499</v>
          </cell>
          <cell r="I11">
            <v>30.210166734444901</v>
          </cell>
        </row>
        <row r="12">
          <cell r="B12">
            <v>0</v>
          </cell>
          <cell r="C12">
            <v>0</v>
          </cell>
          <cell r="D12">
            <v>38736.519105312203</v>
          </cell>
          <cell r="E12">
            <v>55.724476827925102</v>
          </cell>
          <cell r="F12">
            <v>47427.632239836799</v>
          </cell>
          <cell r="G12">
            <v>54.014597394443598</v>
          </cell>
          <cell r="H12">
            <v>25282.658477842</v>
          </cell>
          <cell r="I12">
            <v>32.719556840077097</v>
          </cell>
        </row>
        <row r="13">
          <cell r="B13">
            <v>0</v>
          </cell>
          <cell r="C13">
            <v>0</v>
          </cell>
          <cell r="D13">
            <v>38694.706281302198</v>
          </cell>
          <cell r="E13">
            <v>56.612166110183601</v>
          </cell>
          <cell r="F13">
            <v>47504.806777645703</v>
          </cell>
          <cell r="G13">
            <v>53.991973840665899</v>
          </cell>
          <cell r="H13">
            <v>24813.8177765648</v>
          </cell>
          <cell r="I13">
            <v>32.426491994177603</v>
          </cell>
        </row>
        <row r="14">
          <cell r="B14">
            <v>0</v>
          </cell>
          <cell r="C14">
            <v>0</v>
          </cell>
          <cell r="D14">
            <v>38680.7838033261</v>
          </cell>
          <cell r="E14">
            <v>56.990600144613097</v>
          </cell>
          <cell r="F14">
            <v>47648.106208859601</v>
          </cell>
          <cell r="G14">
            <v>54.319338196050502</v>
          </cell>
          <cell r="H14">
            <v>22106.345777860501</v>
          </cell>
          <cell r="I14">
            <v>30.531421655339301</v>
          </cell>
        </row>
        <row r="15">
          <cell r="B15">
            <v>98160</v>
          </cell>
          <cell r="C15">
            <v>79</v>
          </cell>
          <cell r="D15">
            <v>40438.3794927649</v>
          </cell>
          <cell r="E15">
            <v>57.1128053524195</v>
          </cell>
          <cell r="F15">
            <v>49231.437271620001</v>
          </cell>
          <cell r="G15">
            <v>54.531546894031699</v>
          </cell>
          <cell r="H15">
            <v>18666.389270976601</v>
          </cell>
          <cell r="I15">
            <v>28.204755354686601</v>
          </cell>
        </row>
      </sheetData>
      <sheetData sheetId="27" refreshError="1">
        <row r="7">
          <cell r="B7">
            <v>51480</v>
          </cell>
          <cell r="C7">
            <v>44</v>
          </cell>
          <cell r="D7">
            <v>34863.67</v>
          </cell>
          <cell r="E7">
            <v>55.103400000000001</v>
          </cell>
          <cell r="F7">
            <v>45567.965100000001</v>
          </cell>
          <cell r="G7">
            <v>56.186</v>
          </cell>
          <cell r="H7">
            <v>17912.7513</v>
          </cell>
          <cell r="I7">
            <v>26.206099999999999</v>
          </cell>
        </row>
        <row r="8">
          <cell r="B8">
            <v>0</v>
          </cell>
          <cell r="C8">
            <v>0</v>
          </cell>
          <cell r="D8">
            <v>36174.074099999998</v>
          </cell>
          <cell r="E8">
            <v>54.822200000000002</v>
          </cell>
          <cell r="F8">
            <v>46242.039499999999</v>
          </cell>
          <cell r="G8">
            <v>57.315800000000003</v>
          </cell>
          <cell r="H8">
            <v>15732.010899999999</v>
          </cell>
          <cell r="I8">
            <v>25.163499999999999</v>
          </cell>
        </row>
        <row r="9">
          <cell r="B9">
            <v>0</v>
          </cell>
          <cell r="C9">
            <v>0</v>
          </cell>
          <cell r="D9">
            <v>36267.846715328502</v>
          </cell>
          <cell r="E9">
            <v>55.401459854014597</v>
          </cell>
          <cell r="F9">
            <v>46053.795180722896</v>
          </cell>
          <cell r="G9">
            <v>57.397590361445801</v>
          </cell>
          <cell r="H9">
            <v>15857.9344018217</v>
          </cell>
          <cell r="I9">
            <v>25.3034682080925</v>
          </cell>
        </row>
        <row r="10">
          <cell r="B10">
            <v>0</v>
          </cell>
          <cell r="C10">
            <v>0</v>
          </cell>
          <cell r="D10">
            <v>35639.7977941176</v>
          </cell>
          <cell r="E10">
            <v>53.511029411764703</v>
          </cell>
          <cell r="F10">
            <v>47249.457831325301</v>
          </cell>
          <cell r="G10">
            <v>58.240963855421697</v>
          </cell>
          <cell r="H10">
            <v>15954.652228401301</v>
          </cell>
          <cell r="I10">
            <v>25.684029137620399</v>
          </cell>
        </row>
        <row r="11">
          <cell r="B11">
            <v>0</v>
          </cell>
          <cell r="C11">
            <v>0</v>
          </cell>
          <cell r="D11">
            <v>37397.467362924297</v>
          </cell>
          <cell r="E11">
            <v>50.926892950391597</v>
          </cell>
          <cell r="F11">
            <v>47763.475609756097</v>
          </cell>
          <cell r="G11">
            <v>58.0731707317073</v>
          </cell>
          <cell r="H11">
            <v>16094.376764386499</v>
          </cell>
          <cell r="I11">
            <v>25.781758957654699</v>
          </cell>
        </row>
        <row r="12">
          <cell r="B12">
            <v>0</v>
          </cell>
          <cell r="C12">
            <v>0</v>
          </cell>
          <cell r="D12">
            <v>37054.237726098203</v>
          </cell>
          <cell r="E12">
            <v>50.832041343669303</v>
          </cell>
          <cell r="F12">
            <v>47824.565217391297</v>
          </cell>
          <cell r="G12">
            <v>57.985507246376798</v>
          </cell>
          <cell r="H12">
            <v>17780.236568986598</v>
          </cell>
          <cell r="I12">
            <v>26.730006105006101</v>
          </cell>
        </row>
        <row r="13">
          <cell r="B13">
            <v>0</v>
          </cell>
          <cell r="C13">
            <v>0</v>
          </cell>
          <cell r="D13">
            <v>37259.440298507499</v>
          </cell>
          <cell r="E13">
            <v>51.405472636815901</v>
          </cell>
          <cell r="F13">
            <v>47454.397590361397</v>
          </cell>
          <cell r="G13">
            <v>58.819277108433702</v>
          </cell>
          <cell r="H13">
            <v>17438.198513648698</v>
          </cell>
          <cell r="I13">
            <v>26.732170930398699</v>
          </cell>
        </row>
        <row r="14">
          <cell r="B14">
            <v>0</v>
          </cell>
          <cell r="C14">
            <v>0</v>
          </cell>
          <cell r="D14">
            <v>38146.982300885</v>
          </cell>
          <cell r="E14">
            <v>50.184070796460198</v>
          </cell>
          <cell r="F14">
            <v>47942.387387387404</v>
          </cell>
          <cell r="G14">
            <v>56.369369369369402</v>
          </cell>
          <cell r="H14">
            <v>17115.921356509101</v>
          </cell>
          <cell r="I14">
            <v>26.810866658563299</v>
          </cell>
        </row>
        <row r="15">
          <cell r="B15">
            <v>98160</v>
          </cell>
          <cell r="C15">
            <v>79</v>
          </cell>
          <cell r="D15">
            <v>39884.865470851997</v>
          </cell>
          <cell r="E15">
            <v>50.431988041853501</v>
          </cell>
          <cell r="F15">
            <v>49504.732142857101</v>
          </cell>
          <cell r="G15">
            <v>55</v>
          </cell>
          <cell r="H15">
            <v>16185.691778542099</v>
          </cell>
          <cell r="I15">
            <v>26.346388549872401</v>
          </cell>
        </row>
      </sheetData>
      <sheetData sheetId="28" refreshError="1">
        <row r="7">
          <cell r="B7">
            <v>92480</v>
          </cell>
          <cell r="C7">
            <v>66</v>
          </cell>
          <cell r="D7">
            <v>37895.862099999998</v>
          </cell>
          <cell r="E7">
            <v>55.164200000000001</v>
          </cell>
          <cell r="F7">
            <v>45470.144899999999</v>
          </cell>
          <cell r="G7">
            <v>53.923099999999998</v>
          </cell>
          <cell r="H7">
            <v>38727.515200000002</v>
          </cell>
          <cell r="I7">
            <v>44.037300000000002</v>
          </cell>
        </row>
        <row r="8">
          <cell r="B8">
            <v>95250</v>
          </cell>
          <cell r="C8">
            <v>63</v>
          </cell>
          <cell r="D8">
            <v>38490.659099999997</v>
          </cell>
          <cell r="E8">
            <v>55.2012</v>
          </cell>
          <cell r="F8">
            <v>46625.325499999999</v>
          </cell>
          <cell r="G8">
            <v>53.940899999999999</v>
          </cell>
          <cell r="H8">
            <v>39189.626600000003</v>
          </cell>
          <cell r="I8">
            <v>43.648299999999999</v>
          </cell>
        </row>
        <row r="9">
          <cell r="B9">
            <v>95250</v>
          </cell>
          <cell r="C9">
            <v>67.5</v>
          </cell>
          <cell r="D9">
            <v>38990.0216554379</v>
          </cell>
          <cell r="E9">
            <v>55.292685274302201</v>
          </cell>
          <cell r="F9">
            <v>47082.919522052398</v>
          </cell>
          <cell r="G9">
            <v>53.978738358812201</v>
          </cell>
          <cell r="H9">
            <v>38927.5214740925</v>
          </cell>
          <cell r="I9">
            <v>43.432252701579401</v>
          </cell>
        </row>
        <row r="10">
          <cell r="B10">
            <v>0</v>
          </cell>
          <cell r="C10">
            <v>0</v>
          </cell>
          <cell r="D10">
            <v>38719.258172673901</v>
          </cell>
          <cell r="E10">
            <v>55.498009220452602</v>
          </cell>
          <cell r="F10">
            <v>47151.651072124798</v>
          </cell>
          <cell r="G10">
            <v>53.943469785574997</v>
          </cell>
          <cell r="H10">
            <v>38633.4910693575</v>
          </cell>
          <cell r="I10">
            <v>42.8513106007887</v>
          </cell>
        </row>
        <row r="11">
          <cell r="B11">
            <v>95250</v>
          </cell>
          <cell r="C11">
            <v>69</v>
          </cell>
          <cell r="D11">
            <v>38863.872633390703</v>
          </cell>
          <cell r="E11">
            <v>55.8056153184165</v>
          </cell>
          <cell r="F11">
            <v>47252.4949310624</v>
          </cell>
          <cell r="G11">
            <v>53.978102189780998</v>
          </cell>
          <cell r="H11">
            <v>39419.810372771499</v>
          </cell>
          <cell r="I11">
            <v>43.430794165316001</v>
          </cell>
        </row>
        <row r="12">
          <cell r="B12">
            <v>0</v>
          </cell>
          <cell r="C12">
            <v>0</v>
          </cell>
          <cell r="D12">
            <v>38793.548090399403</v>
          </cell>
          <cell r="E12">
            <v>55.890329362298502</v>
          </cell>
          <cell r="F12">
            <v>47423.2862583307</v>
          </cell>
          <cell r="G12">
            <v>53.971120279276398</v>
          </cell>
          <cell r="H12">
            <v>38123.794409613402</v>
          </cell>
          <cell r="I12">
            <v>42.971264367816097</v>
          </cell>
        </row>
        <row r="13">
          <cell r="B13">
            <v>0</v>
          </cell>
          <cell r="C13">
            <v>0</v>
          </cell>
          <cell r="D13">
            <v>38757.544108037502</v>
          </cell>
          <cell r="E13">
            <v>56.840121977782601</v>
          </cell>
          <cell r="F13">
            <v>47505.436418359699</v>
          </cell>
          <cell r="G13">
            <v>53.931677953348398</v>
          </cell>
          <cell r="H13">
            <v>37731.767209011297</v>
          </cell>
          <cell r="I13">
            <v>42.399749687108901</v>
          </cell>
        </row>
        <row r="14">
          <cell r="B14">
            <v>0</v>
          </cell>
          <cell r="C14">
            <v>0</v>
          </cell>
          <cell r="D14">
            <v>38728.279527559098</v>
          </cell>
          <cell r="E14">
            <v>57.596220472440898</v>
          </cell>
          <cell r="F14">
            <v>47642.177858439201</v>
          </cell>
          <cell r="G14">
            <v>54.278039927404699</v>
          </cell>
          <cell r="H14">
            <v>38437.3806682578</v>
          </cell>
          <cell r="I14">
            <v>42.7068416865553</v>
          </cell>
        </row>
        <row r="15">
          <cell r="B15">
            <v>0</v>
          </cell>
          <cell r="C15">
            <v>0</v>
          </cell>
          <cell r="D15">
            <v>40502.690170198002</v>
          </cell>
          <cell r="E15">
            <v>57.889023966655103</v>
          </cell>
          <cell r="F15">
            <v>49223.771600300497</v>
          </cell>
          <cell r="G15">
            <v>54.518407212622101</v>
          </cell>
          <cell r="H15">
            <v>37858.2575107296</v>
          </cell>
          <cell r="I15">
            <v>42.581974248926997</v>
          </cell>
        </row>
      </sheetData>
      <sheetData sheetId="29" refreshError="1">
        <row r="7">
          <cell r="B7">
            <v>47.482145418976202</v>
          </cell>
          <cell r="C7">
            <v>47.496191099476441</v>
          </cell>
          <cell r="D7">
            <v>28.1172</v>
          </cell>
          <cell r="E7">
            <v>52.468899999999998</v>
          </cell>
          <cell r="F7">
            <v>59.505000000000003</v>
          </cell>
          <cell r="G7">
            <v>43.584400000000002</v>
          </cell>
        </row>
        <row r="8">
          <cell r="B8">
            <v>43.558211521926054</v>
          </cell>
          <cell r="C8">
            <v>43.558251757893288</v>
          </cell>
          <cell r="D8">
            <v>25.812200000000001</v>
          </cell>
          <cell r="E8">
            <v>52.756399999999999</v>
          </cell>
          <cell r="F8">
            <v>60.254100000000001</v>
          </cell>
          <cell r="G8">
            <v>43.539700000000003</v>
          </cell>
        </row>
        <row r="9">
          <cell r="B9">
            <v>42.769983115104019</v>
          </cell>
          <cell r="C9">
            <v>42.765240983083309</v>
          </cell>
          <cell r="D9">
            <v>25.886664375322219</v>
          </cell>
          <cell r="E9">
            <v>52.694105015593841</v>
          </cell>
          <cell r="F9">
            <v>59.563909774436091</v>
          </cell>
          <cell r="G9">
            <v>45.288135593220339</v>
          </cell>
        </row>
        <row r="10">
          <cell r="B10">
            <v>41.694510962525271</v>
          </cell>
          <cell r="C10">
            <v>41.686610396486749</v>
          </cell>
          <cell r="D10">
            <v>26.466773357719859</v>
          </cell>
          <cell r="E10">
            <v>52.161286903058247</v>
          </cell>
          <cell r="F10">
            <v>59.389830508474574</v>
          </cell>
          <cell r="G10">
            <v>46.979166666666664</v>
          </cell>
        </row>
        <row r="11">
          <cell r="B11">
            <v>43.753976474069688</v>
          </cell>
          <cell r="C11">
            <v>43.750574286772881</v>
          </cell>
          <cell r="D11">
            <v>27.050852713178294</v>
          </cell>
          <cell r="E11">
            <v>53.045272272912186</v>
          </cell>
          <cell r="F11">
            <v>58.898148148148145</v>
          </cell>
          <cell r="G11">
            <v>45.840909090909093</v>
          </cell>
        </row>
        <row r="12">
          <cell r="B12">
            <v>46.98041752631395</v>
          </cell>
          <cell r="C12">
            <v>46.98041752631395</v>
          </cell>
          <cell r="D12">
            <v>28.368721461187214</v>
          </cell>
          <cell r="E12">
            <v>53.004477611940295</v>
          </cell>
          <cell r="F12">
            <v>58.943396226415096</v>
          </cell>
          <cell r="G12">
            <v>47.139534883720927</v>
          </cell>
        </row>
        <row r="13">
          <cell r="B13">
            <v>46.228564115689785</v>
          </cell>
          <cell r="C13">
            <v>46.229893055962499</v>
          </cell>
          <cell r="D13">
            <v>28.413793103448278</v>
          </cell>
          <cell r="E13">
            <v>52.926583177001469</v>
          </cell>
          <cell r="F13">
            <v>58.565656565656568</v>
          </cell>
          <cell r="G13">
            <v>45.422222222222224</v>
          </cell>
        </row>
        <row r="14">
          <cell r="B14">
            <v>44.142152870064734</v>
          </cell>
          <cell r="C14">
            <v>44.136142973750914</v>
          </cell>
          <cell r="D14">
            <v>28.662697966977422</v>
          </cell>
          <cell r="E14">
            <v>53.704637802998455</v>
          </cell>
          <cell r="F14">
            <v>55.93</v>
          </cell>
          <cell r="G14">
            <v>46.94</v>
          </cell>
        </row>
        <row r="15">
          <cell r="B15">
            <v>42.400144682903303</v>
          </cell>
          <cell r="C15">
            <v>42.395973154362416</v>
          </cell>
          <cell r="D15">
            <v>28.324451250638081</v>
          </cell>
          <cell r="E15">
            <v>55.025062194784851</v>
          </cell>
          <cell r="F15">
            <v>54.571428571428569</v>
          </cell>
          <cell r="G15">
            <v>46</v>
          </cell>
        </row>
      </sheetData>
      <sheetData sheetId="30" refreshError="1">
        <row r="6">
          <cell r="B6">
            <v>55</v>
          </cell>
          <cell r="C6">
            <v>44</v>
          </cell>
          <cell r="D6">
            <v>0</v>
          </cell>
          <cell r="E6">
            <v>66</v>
          </cell>
        </row>
        <row r="7">
          <cell r="B7">
            <v>63</v>
          </cell>
          <cell r="C7">
            <v>0</v>
          </cell>
          <cell r="D7">
            <v>55</v>
          </cell>
          <cell r="E7">
            <v>67</v>
          </cell>
        </row>
        <row r="8">
          <cell r="B8">
            <v>67.5</v>
          </cell>
          <cell r="C8">
            <v>0</v>
          </cell>
          <cell r="D8">
            <v>66</v>
          </cell>
          <cell r="E8">
            <v>69</v>
          </cell>
        </row>
        <row r="9">
          <cell r="B9">
            <v>0</v>
          </cell>
          <cell r="C9">
            <v>0</v>
          </cell>
          <cell r="D9">
            <v>0</v>
          </cell>
          <cell r="E9">
            <v>0</v>
          </cell>
        </row>
        <row r="10">
          <cell r="B10">
            <v>69</v>
          </cell>
          <cell r="C10">
            <v>0</v>
          </cell>
          <cell r="D10">
            <v>69</v>
          </cell>
          <cell r="E10">
            <v>0</v>
          </cell>
        </row>
        <row r="11">
          <cell r="B11">
            <v>0</v>
          </cell>
          <cell r="C11">
            <v>0</v>
          </cell>
          <cell r="D11">
            <v>0</v>
          </cell>
          <cell r="E11">
            <v>0</v>
          </cell>
        </row>
        <row r="12">
          <cell r="B12">
            <v>0</v>
          </cell>
          <cell r="C12">
            <v>0</v>
          </cell>
          <cell r="D12">
            <v>0</v>
          </cell>
          <cell r="E12">
            <v>0</v>
          </cell>
        </row>
        <row r="13">
          <cell r="B13">
            <v>0</v>
          </cell>
          <cell r="C13">
            <v>0</v>
          </cell>
          <cell r="D13">
            <v>0</v>
          </cell>
          <cell r="E13">
            <v>0</v>
          </cell>
        </row>
        <row r="14">
          <cell r="B14">
            <v>79</v>
          </cell>
          <cell r="C14">
            <v>79</v>
          </cell>
          <cell r="D14">
            <v>0</v>
          </cell>
          <cell r="E14">
            <v>0</v>
          </cell>
        </row>
      </sheetData>
      <sheetData sheetId="31" refreshError="1">
        <row r="6">
          <cell r="B6">
            <v>55.10195410596026</v>
          </cell>
          <cell r="C6">
            <v>55.162843193165429</v>
          </cell>
          <cell r="D6">
            <v>55.103400000000001</v>
          </cell>
          <cell r="E6">
            <v>55.1006</v>
          </cell>
          <cell r="F6">
            <v>59.9739</v>
          </cell>
          <cell r="G6">
            <v>43.43</v>
          </cell>
        </row>
        <row r="7">
          <cell r="B7">
            <v>55.181021194605009</v>
          </cell>
          <cell r="C7">
            <v>55.196216581411058</v>
          </cell>
          <cell r="D7">
            <v>54.822200000000002</v>
          </cell>
          <cell r="E7">
            <v>55.163699999999999</v>
          </cell>
          <cell r="F7">
            <v>60.880600000000001</v>
          </cell>
          <cell r="G7">
            <v>46.8947</v>
          </cell>
        </row>
        <row r="8">
          <cell r="B8">
            <v>55.270349663602744</v>
          </cell>
          <cell r="C8">
            <v>55.294100883442553</v>
          </cell>
          <cell r="D8">
            <v>55.401459854014597</v>
          </cell>
          <cell r="E8">
            <v>55.267784454351599</v>
          </cell>
          <cell r="F8">
            <v>58.8611111111111</v>
          </cell>
          <cell r="G8">
            <v>45.653846153846203</v>
          </cell>
        </row>
        <row r="9">
          <cell r="B9">
            <v>55.424418013622073</v>
          </cell>
          <cell r="C9">
            <v>55.442950285248607</v>
          </cell>
          <cell r="D9">
            <v>53.511029411764703</v>
          </cell>
          <cell r="E9">
            <v>55.466427364864899</v>
          </cell>
          <cell r="F9">
            <v>59.6527777777778</v>
          </cell>
          <cell r="G9">
            <v>46.761904761904802</v>
          </cell>
        </row>
        <row r="10">
          <cell r="B10">
            <v>55.597298133443367</v>
          </cell>
          <cell r="C10">
            <v>55.61256328133075</v>
          </cell>
          <cell r="D10">
            <v>50.926892950391597</v>
          </cell>
          <cell r="E10">
            <v>55.776101584545302</v>
          </cell>
          <cell r="F10">
            <v>59.121951219512198</v>
          </cell>
          <cell r="G10">
            <v>47.3888888888889</v>
          </cell>
        </row>
        <row r="11">
          <cell r="B11">
            <v>55.718033341795689</v>
          </cell>
          <cell r="C11">
            <v>55.724476827925074</v>
          </cell>
          <cell r="D11">
            <v>50.832041343669303</v>
          </cell>
          <cell r="E11">
            <v>55.866243162166903</v>
          </cell>
          <cell r="F11">
            <v>59.219512195122</v>
          </cell>
          <cell r="G11">
            <v>50.285714285714299</v>
          </cell>
        </row>
        <row r="12">
          <cell r="B12">
            <v>56.599520633597329</v>
          </cell>
          <cell r="C12">
            <v>56.61</v>
          </cell>
          <cell r="D12">
            <v>51.405472636815901</v>
          </cell>
          <cell r="E12">
            <v>56.830424761277598</v>
          </cell>
          <cell r="F12">
            <v>58.084507042253499</v>
          </cell>
          <cell r="G12">
            <v>46.5</v>
          </cell>
        </row>
        <row r="13">
          <cell r="B13">
            <v>56.975891439295509</v>
          </cell>
          <cell r="C13">
            <v>56.990600144613161</v>
          </cell>
          <cell r="D13">
            <v>50.184070796460198</v>
          </cell>
          <cell r="E13">
            <v>57.616987434388399</v>
          </cell>
          <cell r="F13">
            <v>55.523809523809497</v>
          </cell>
          <cell r="G13">
            <v>48.5</v>
          </cell>
        </row>
        <row r="14">
          <cell r="B14">
            <v>57.10010881392818</v>
          </cell>
          <cell r="C14">
            <v>57.112805352419478</v>
          </cell>
          <cell r="D14">
            <v>50.431988041853501</v>
          </cell>
          <cell r="E14">
            <v>57.915091036414601</v>
          </cell>
          <cell r="F14">
            <v>54.652173913043498</v>
          </cell>
          <cell r="G14">
            <v>43.5</v>
          </cell>
        </row>
      </sheetData>
      <sheetData sheetId="32" refreshError="1">
        <row r="6">
          <cell r="B6">
            <v>53.900592266112277</v>
          </cell>
          <cell r="C6">
            <v>53.963776108786618</v>
          </cell>
          <cell r="D6">
            <v>56.186</v>
          </cell>
          <cell r="E6">
            <v>53.832000000000001</v>
          </cell>
          <cell r="F6">
            <v>58.802300000000002</v>
          </cell>
          <cell r="G6">
            <v>43.833300000000001</v>
          </cell>
        </row>
        <row r="7">
          <cell r="B7">
            <v>53.893647394718059</v>
          </cell>
          <cell r="C7">
            <v>53.987050359712228</v>
          </cell>
          <cell r="D7">
            <v>57.315800000000003</v>
          </cell>
          <cell r="E7">
            <v>53.889499999999998</v>
          </cell>
          <cell r="F7">
            <v>59.207500000000003</v>
          </cell>
          <cell r="G7">
            <v>42.090899999999998</v>
          </cell>
        </row>
        <row r="8">
          <cell r="B8">
            <v>53.976579989667641</v>
          </cell>
          <cell r="C8">
            <v>54.027883616210602</v>
          </cell>
          <cell r="D8">
            <v>57.397590361445801</v>
          </cell>
          <cell r="E8">
            <v>53.911916178298704</v>
          </cell>
          <cell r="F8">
            <v>60.25</v>
          </cell>
          <cell r="G8">
            <v>45</v>
          </cell>
        </row>
        <row r="9">
          <cell r="B9">
            <v>53.976526717557284</v>
          </cell>
          <cell r="C9">
            <v>54.011893343564203</v>
          </cell>
          <cell r="D9">
            <v>58.240963855421697</v>
          </cell>
          <cell r="E9">
            <v>53.897915027537401</v>
          </cell>
          <cell r="F9">
            <v>58.978260869565197</v>
          </cell>
          <cell r="G9">
            <v>47.148148148148103</v>
          </cell>
        </row>
        <row r="10">
          <cell r="B10">
            <v>53.997222222222184</v>
          </cell>
          <cell r="C10">
            <v>54.045073793378506</v>
          </cell>
          <cell r="D10">
            <v>58.0731707317073</v>
          </cell>
          <cell r="E10">
            <v>53.955768446799802</v>
          </cell>
          <cell r="F10">
            <v>58.192307692307701</v>
          </cell>
          <cell r="G10">
            <v>44.769230769230802</v>
          </cell>
        </row>
        <row r="11">
          <cell r="B11">
            <v>53.9765625</v>
          </cell>
          <cell r="C11">
            <v>54.014597394443562</v>
          </cell>
          <cell r="D11">
            <v>57.985507246376798</v>
          </cell>
          <cell r="E11">
            <v>53.9557183816502</v>
          </cell>
          <cell r="F11">
            <v>58</v>
          </cell>
          <cell r="G11">
            <v>45.620689655172399</v>
          </cell>
        </row>
        <row r="12">
          <cell r="B12">
            <v>53.95</v>
          </cell>
          <cell r="C12">
            <v>53.99</v>
          </cell>
          <cell r="D12">
            <v>58.819277108433702</v>
          </cell>
          <cell r="E12">
            <v>53.906906453075401</v>
          </cell>
          <cell r="F12">
            <v>59.785714285714299</v>
          </cell>
          <cell r="G12">
            <v>45.030303030303003</v>
          </cell>
        </row>
        <row r="13">
          <cell r="B13">
            <v>54.266478176356244</v>
          </cell>
          <cell r="C13">
            <v>54.319338196050523</v>
          </cell>
          <cell r="D13">
            <v>56.369369369369402</v>
          </cell>
          <cell r="E13">
            <v>54.262196236068</v>
          </cell>
          <cell r="F13">
            <v>56.6216216216216</v>
          </cell>
          <cell r="G13">
            <v>46.447368421052602</v>
          </cell>
        </row>
        <row r="14">
          <cell r="B14">
            <v>54.49793839437303</v>
          </cell>
          <cell r="C14">
            <v>54.531546894031671</v>
          </cell>
          <cell r="D14">
            <v>55</v>
          </cell>
          <cell r="E14">
            <v>54.519114688128802</v>
          </cell>
          <cell r="F14">
            <v>54.352941176470601</v>
          </cell>
          <cell r="G14">
            <v>46.8333333333333</v>
          </cell>
        </row>
      </sheetData>
      <sheetData sheetId="33" refreshError="1">
        <row r="6">
          <cell r="B6">
            <v>34.324846979070685</v>
          </cell>
          <cell r="C6">
            <v>26.206099999999999</v>
          </cell>
          <cell r="D6">
            <v>44.037300000000002</v>
          </cell>
        </row>
        <row r="7">
          <cell r="B7">
            <v>29.910375916870414</v>
          </cell>
          <cell r="C7">
            <v>25.163499999999999</v>
          </cell>
          <cell r="D7">
            <v>43.648299999999999</v>
          </cell>
        </row>
        <row r="8">
          <cell r="B8">
            <v>29.657416650029901</v>
          </cell>
          <cell r="C8">
            <v>25.303468208092486</v>
          </cell>
          <cell r="D8">
            <v>43.432252701579387</v>
          </cell>
        </row>
        <row r="9">
          <cell r="B9">
            <v>30.017566459772809</v>
          </cell>
          <cell r="C9">
            <v>25.684029137620428</v>
          </cell>
          <cell r="D9">
            <v>42.851310600788679</v>
          </cell>
        </row>
        <row r="10">
          <cell r="B10">
            <v>30.210166734444897</v>
          </cell>
          <cell r="C10">
            <v>25.781758957654723</v>
          </cell>
          <cell r="D10">
            <v>43.430794165316044</v>
          </cell>
        </row>
        <row r="11">
          <cell r="B11">
            <v>32.719556840077068</v>
          </cell>
          <cell r="C11">
            <v>26.730006105006105</v>
          </cell>
          <cell r="D11">
            <v>42.97126436781609</v>
          </cell>
        </row>
        <row r="12">
          <cell r="B12">
            <v>32.426491994177582</v>
          </cell>
          <cell r="C12">
            <v>26.732170930398699</v>
          </cell>
          <cell r="D12">
            <v>42.399749687108901</v>
          </cell>
        </row>
        <row r="13">
          <cell r="B13">
            <v>30.531421655339354</v>
          </cell>
          <cell r="C13">
            <v>26.810866658563299</v>
          </cell>
          <cell r="D13">
            <v>42.7068416865553</v>
          </cell>
        </row>
        <row r="14">
          <cell r="B14">
            <v>28.204755354686579</v>
          </cell>
          <cell r="C14">
            <v>26.346388549872401</v>
          </cell>
          <cell r="D14">
            <v>42.581974248926997</v>
          </cell>
        </row>
      </sheetData>
      <sheetData sheetId="34" refreshError="1">
        <row r="5">
          <cell r="B5">
            <v>0</v>
          </cell>
          <cell r="C5">
            <v>72</v>
          </cell>
          <cell r="D5">
            <v>50</v>
          </cell>
          <cell r="E5">
            <v>4</v>
          </cell>
        </row>
        <row r="6">
          <cell r="B6">
            <v>0</v>
          </cell>
          <cell r="C6">
            <v>112</v>
          </cell>
          <cell r="D6">
            <v>63</v>
          </cell>
          <cell r="E6">
            <v>5</v>
          </cell>
        </row>
        <row r="7">
          <cell r="B7">
            <v>1</v>
          </cell>
          <cell r="C7">
            <v>153</v>
          </cell>
          <cell r="D7">
            <v>65</v>
          </cell>
          <cell r="E7">
            <v>7</v>
          </cell>
        </row>
        <row r="8">
          <cell r="B8">
            <v>0</v>
          </cell>
          <cell r="C8">
            <v>161</v>
          </cell>
          <cell r="D8">
            <v>72</v>
          </cell>
          <cell r="E8">
            <v>9</v>
          </cell>
        </row>
        <row r="9">
          <cell r="B9">
            <v>0</v>
          </cell>
          <cell r="C9">
            <v>159</v>
          </cell>
          <cell r="D9">
            <v>87</v>
          </cell>
          <cell r="E9">
            <v>8</v>
          </cell>
        </row>
        <row r="10">
          <cell r="B10">
            <v>0</v>
          </cell>
          <cell r="C10">
            <v>218</v>
          </cell>
          <cell r="D10">
            <v>97</v>
          </cell>
          <cell r="E10">
            <v>8</v>
          </cell>
        </row>
        <row r="11">
          <cell r="B11">
            <v>1</v>
          </cell>
          <cell r="C11">
            <v>265</v>
          </cell>
          <cell r="D11">
            <v>130</v>
          </cell>
          <cell r="E11">
            <v>24</v>
          </cell>
        </row>
        <row r="12">
          <cell r="B12">
            <v>3</v>
          </cell>
          <cell r="C12">
            <v>289</v>
          </cell>
          <cell r="D12">
            <v>165</v>
          </cell>
          <cell r="E12">
            <v>18</v>
          </cell>
        </row>
        <row r="13">
          <cell r="B13">
            <v>0</v>
          </cell>
          <cell r="C13">
            <v>250</v>
          </cell>
          <cell r="D13">
            <v>166</v>
          </cell>
          <cell r="E13">
            <v>17</v>
          </cell>
        </row>
      </sheetData>
      <sheetData sheetId="35" refreshError="1">
        <row r="7">
          <cell r="B7">
            <v>0</v>
          </cell>
          <cell r="C7">
            <v>0</v>
          </cell>
          <cell r="D7">
            <v>474</v>
          </cell>
          <cell r="E7">
            <v>61.5</v>
          </cell>
          <cell r="F7">
            <v>277</v>
          </cell>
          <cell r="G7">
            <v>61.83</v>
          </cell>
          <cell r="H7">
            <v>58</v>
          </cell>
          <cell r="I7">
            <v>52.53</v>
          </cell>
        </row>
        <row r="8">
          <cell r="B8">
            <v>0</v>
          </cell>
          <cell r="C8">
            <v>0</v>
          </cell>
          <cell r="D8">
            <v>495</v>
          </cell>
          <cell r="E8">
            <v>63.284848484848482</v>
          </cell>
          <cell r="F8">
            <v>291</v>
          </cell>
          <cell r="G8">
            <v>64.099699999999999</v>
          </cell>
          <cell r="H8">
            <v>63</v>
          </cell>
          <cell r="I8">
            <v>50.460299999999997</v>
          </cell>
        </row>
        <row r="9">
          <cell r="B9">
            <v>3</v>
          </cell>
          <cell r="C9">
            <v>79.333333333333329</v>
          </cell>
          <cell r="D9">
            <v>572</v>
          </cell>
          <cell r="E9">
            <v>63.88111888111888</v>
          </cell>
          <cell r="F9">
            <v>334</v>
          </cell>
          <cell r="G9">
            <v>63.451048951049003</v>
          </cell>
          <cell r="H9">
            <v>74</v>
          </cell>
          <cell r="I9">
            <v>50.702702702702702</v>
          </cell>
        </row>
        <row r="10">
          <cell r="B10">
            <v>1</v>
          </cell>
          <cell r="C10">
            <v>76</v>
          </cell>
          <cell r="D10">
            <v>570</v>
          </cell>
          <cell r="E10">
            <v>64.647368421052605</v>
          </cell>
          <cell r="F10">
            <v>334</v>
          </cell>
          <cell r="G10">
            <v>65.299401197604794</v>
          </cell>
          <cell r="H10">
            <v>78</v>
          </cell>
          <cell r="I10">
            <v>51.961538461538503</v>
          </cell>
        </row>
        <row r="11">
          <cell r="B11">
            <v>3</v>
          </cell>
          <cell r="C11">
            <v>75</v>
          </cell>
          <cell r="D11">
            <v>759</v>
          </cell>
          <cell r="E11">
            <v>64.640316205533594</v>
          </cell>
          <cell r="F11">
            <v>388</v>
          </cell>
          <cell r="G11">
            <v>65.487113402061894</v>
          </cell>
          <cell r="H11">
            <v>101</v>
          </cell>
          <cell r="I11">
            <v>51.762376237623798</v>
          </cell>
        </row>
        <row r="12">
          <cell r="B12">
            <v>2</v>
          </cell>
          <cell r="C12">
            <v>71</v>
          </cell>
          <cell r="D12">
            <v>718</v>
          </cell>
          <cell r="E12">
            <v>65.714484679665702</v>
          </cell>
          <cell r="F12">
            <v>469</v>
          </cell>
          <cell r="G12">
            <v>66.349680170575695</v>
          </cell>
          <cell r="H12">
            <v>87</v>
          </cell>
          <cell r="I12">
            <v>54.6666666666667</v>
          </cell>
        </row>
        <row r="13">
          <cell r="B13">
            <v>3</v>
          </cell>
          <cell r="C13">
            <v>78.33</v>
          </cell>
          <cell r="D13">
            <v>852</v>
          </cell>
          <cell r="E13">
            <v>66.67</v>
          </cell>
          <cell r="F13">
            <v>479</v>
          </cell>
          <cell r="G13">
            <v>67.02</v>
          </cell>
          <cell r="H13">
            <v>110</v>
          </cell>
          <cell r="I13">
            <v>53.8</v>
          </cell>
        </row>
        <row r="14">
          <cell r="B14">
            <v>0</v>
          </cell>
          <cell r="C14">
            <v>0</v>
          </cell>
          <cell r="D14">
            <v>914</v>
          </cell>
          <cell r="E14">
            <v>66.705689277899296</v>
          </cell>
          <cell r="F14">
            <v>554</v>
          </cell>
          <cell r="G14">
            <v>68.812274368231002</v>
          </cell>
          <cell r="H14">
            <v>124</v>
          </cell>
          <cell r="I14">
            <v>55.2661290322581</v>
          </cell>
        </row>
        <row r="15">
          <cell r="B15">
            <v>4</v>
          </cell>
          <cell r="C15">
            <v>74.25</v>
          </cell>
          <cell r="D15">
            <v>863</v>
          </cell>
          <cell r="E15">
            <v>68.123986095017401</v>
          </cell>
          <cell r="F15">
            <v>536</v>
          </cell>
          <cell r="G15">
            <v>69.166044776119406</v>
          </cell>
          <cell r="H15">
            <v>75</v>
          </cell>
          <cell r="I15">
            <v>54.16</v>
          </cell>
        </row>
      </sheetData>
      <sheetData sheetId="36" refreshError="1">
        <row r="7">
          <cell r="B7">
            <v>0</v>
          </cell>
          <cell r="C7">
            <v>0</v>
          </cell>
          <cell r="D7">
            <v>4</v>
          </cell>
          <cell r="E7">
            <v>72.75</v>
          </cell>
          <cell r="F7">
            <v>2</v>
          </cell>
          <cell r="G7">
            <v>79</v>
          </cell>
          <cell r="H7">
            <v>3</v>
          </cell>
          <cell r="I7">
            <v>73.67</v>
          </cell>
        </row>
        <row r="8">
          <cell r="B8">
            <v>0</v>
          </cell>
          <cell r="C8">
            <v>0</v>
          </cell>
          <cell r="D8">
            <v>2</v>
          </cell>
          <cell r="E8">
            <v>86</v>
          </cell>
          <cell r="F8">
            <v>2</v>
          </cell>
          <cell r="G8">
            <v>78.5</v>
          </cell>
          <cell r="H8">
            <v>6</v>
          </cell>
          <cell r="I8">
            <v>67.5</v>
          </cell>
        </row>
        <row r="9">
          <cell r="B9">
            <v>0</v>
          </cell>
          <cell r="C9">
            <v>0</v>
          </cell>
          <cell r="D9">
            <v>7</v>
          </cell>
          <cell r="E9">
            <v>82.142857142857096</v>
          </cell>
          <cell r="F9">
            <v>3</v>
          </cell>
          <cell r="G9">
            <v>86.6666666666667</v>
          </cell>
          <cell r="H9">
            <v>1</v>
          </cell>
          <cell r="I9">
            <v>65</v>
          </cell>
        </row>
        <row r="10">
          <cell r="B10">
            <v>0</v>
          </cell>
          <cell r="C10">
            <v>0</v>
          </cell>
          <cell r="D10">
            <v>3</v>
          </cell>
          <cell r="E10">
            <v>77.3333333333333</v>
          </cell>
          <cell r="F10">
            <v>7</v>
          </cell>
          <cell r="G10">
            <v>79.142857142857096</v>
          </cell>
          <cell r="H10">
            <v>2</v>
          </cell>
          <cell r="I10">
            <v>62</v>
          </cell>
        </row>
        <row r="11">
          <cell r="B11">
            <v>0</v>
          </cell>
          <cell r="C11">
            <v>0</v>
          </cell>
          <cell r="D11">
            <v>6</v>
          </cell>
          <cell r="E11">
            <v>82.1666666666667</v>
          </cell>
          <cell r="F11">
            <v>3</v>
          </cell>
          <cell r="G11">
            <v>84</v>
          </cell>
          <cell r="H11">
            <v>3</v>
          </cell>
          <cell r="I11">
            <v>76.3333333333333</v>
          </cell>
        </row>
        <row r="12">
          <cell r="B12">
            <v>0</v>
          </cell>
          <cell r="C12">
            <v>0</v>
          </cell>
          <cell r="D12">
            <v>12</v>
          </cell>
          <cell r="E12">
            <v>83.25</v>
          </cell>
          <cell r="F12">
            <v>7</v>
          </cell>
          <cell r="G12">
            <v>86</v>
          </cell>
          <cell r="H12">
            <v>9</v>
          </cell>
          <cell r="I12">
            <v>71.1111111111111</v>
          </cell>
        </row>
        <row r="13">
          <cell r="B13">
            <v>0</v>
          </cell>
          <cell r="C13">
            <v>0</v>
          </cell>
          <cell r="D13">
            <v>10</v>
          </cell>
          <cell r="E13">
            <v>82.5</v>
          </cell>
          <cell r="F13">
            <v>7</v>
          </cell>
          <cell r="G13">
            <v>85.86</v>
          </cell>
          <cell r="H13">
            <v>5</v>
          </cell>
          <cell r="I13">
            <v>66.2</v>
          </cell>
        </row>
        <row r="14">
          <cell r="B14">
            <v>0</v>
          </cell>
          <cell r="C14">
            <v>0</v>
          </cell>
          <cell r="D14">
            <v>5</v>
          </cell>
          <cell r="E14">
            <v>82.6</v>
          </cell>
          <cell r="F14">
            <v>4</v>
          </cell>
          <cell r="G14">
            <v>82.5</v>
          </cell>
          <cell r="H14">
            <v>10</v>
          </cell>
          <cell r="I14">
            <v>68.7</v>
          </cell>
        </row>
        <row r="15">
          <cell r="B15">
            <v>0</v>
          </cell>
          <cell r="C15">
            <v>0</v>
          </cell>
          <cell r="D15">
            <v>7</v>
          </cell>
          <cell r="E15">
            <v>82</v>
          </cell>
          <cell r="F15">
            <v>4</v>
          </cell>
          <cell r="G15">
            <v>81.5</v>
          </cell>
          <cell r="H15">
            <v>4</v>
          </cell>
          <cell r="I15">
            <v>75.75</v>
          </cell>
        </row>
      </sheetData>
      <sheetData sheetId="37" refreshError="1">
        <row r="7">
          <cell r="B7">
            <v>0</v>
          </cell>
          <cell r="C7">
            <v>0</v>
          </cell>
          <cell r="D7">
            <v>0</v>
          </cell>
          <cell r="E7">
            <v>0</v>
          </cell>
          <cell r="F7">
            <v>0</v>
          </cell>
          <cell r="G7">
            <v>0</v>
          </cell>
          <cell r="H7">
            <v>1</v>
          </cell>
          <cell r="I7">
            <v>17</v>
          </cell>
        </row>
        <row r="8">
          <cell r="B8">
            <v>0</v>
          </cell>
          <cell r="C8">
            <v>0</v>
          </cell>
          <cell r="D8">
            <v>1</v>
          </cell>
          <cell r="E8">
            <v>8</v>
          </cell>
          <cell r="F8">
            <v>0</v>
          </cell>
          <cell r="G8">
            <v>0</v>
          </cell>
          <cell r="H8">
            <v>2</v>
          </cell>
          <cell r="I8">
            <v>14</v>
          </cell>
        </row>
        <row r="9">
          <cell r="B9">
            <v>0</v>
          </cell>
          <cell r="C9">
            <v>0</v>
          </cell>
          <cell r="D9">
            <v>4</v>
          </cell>
          <cell r="E9">
            <v>14</v>
          </cell>
          <cell r="F9">
            <v>1</v>
          </cell>
          <cell r="G9">
            <v>13</v>
          </cell>
          <cell r="H9">
            <v>2</v>
          </cell>
          <cell r="I9">
            <v>9.5</v>
          </cell>
        </row>
        <row r="10">
          <cell r="B10">
            <v>0</v>
          </cell>
          <cell r="C10">
            <v>0</v>
          </cell>
          <cell r="D10">
            <v>4</v>
          </cell>
          <cell r="E10">
            <v>9.75</v>
          </cell>
          <cell r="F10">
            <v>0</v>
          </cell>
          <cell r="G10">
            <v>0</v>
          </cell>
          <cell r="H10">
            <v>3</v>
          </cell>
          <cell r="I10">
            <v>15.3333333333333</v>
          </cell>
        </row>
        <row r="11">
          <cell r="B11">
            <v>0</v>
          </cell>
          <cell r="C11">
            <v>0</v>
          </cell>
          <cell r="D11">
            <v>4</v>
          </cell>
          <cell r="E11">
            <v>8.25</v>
          </cell>
          <cell r="F11">
            <v>1</v>
          </cell>
          <cell r="G11">
            <v>13</v>
          </cell>
          <cell r="H11">
            <v>2</v>
          </cell>
          <cell r="I11">
            <v>13</v>
          </cell>
        </row>
        <row r="12">
          <cell r="B12">
            <v>0</v>
          </cell>
          <cell r="C12">
            <v>0</v>
          </cell>
          <cell r="D12">
            <v>9</v>
          </cell>
          <cell r="E12">
            <v>8.6666666666666696</v>
          </cell>
          <cell r="F12">
            <v>1</v>
          </cell>
          <cell r="G12">
            <v>9</v>
          </cell>
          <cell r="H12">
            <v>4</v>
          </cell>
          <cell r="I12">
            <v>11.25</v>
          </cell>
        </row>
        <row r="13">
          <cell r="B13">
            <v>0</v>
          </cell>
          <cell r="C13">
            <v>0</v>
          </cell>
          <cell r="D13">
            <v>7</v>
          </cell>
          <cell r="E13">
            <v>8.28571428571429</v>
          </cell>
          <cell r="F13">
            <v>1</v>
          </cell>
          <cell r="G13">
            <v>16</v>
          </cell>
          <cell r="H13">
            <v>6</v>
          </cell>
          <cell r="I13">
            <v>14</v>
          </cell>
        </row>
        <row r="14">
          <cell r="B14">
            <v>0</v>
          </cell>
          <cell r="C14">
            <v>0</v>
          </cell>
          <cell r="D14">
            <v>5</v>
          </cell>
          <cell r="E14">
            <v>9.6</v>
          </cell>
          <cell r="F14">
            <v>0</v>
          </cell>
          <cell r="G14">
            <v>0</v>
          </cell>
          <cell r="H14">
            <v>5</v>
          </cell>
          <cell r="I14">
            <v>8.4</v>
          </cell>
        </row>
        <row r="15">
          <cell r="B15">
            <v>0</v>
          </cell>
          <cell r="C15">
            <v>0</v>
          </cell>
          <cell r="D15">
            <v>1</v>
          </cell>
          <cell r="E15">
            <v>4</v>
          </cell>
          <cell r="F15">
            <v>0</v>
          </cell>
          <cell r="G15">
            <v>0</v>
          </cell>
          <cell r="H15">
            <v>1</v>
          </cell>
          <cell r="I15">
            <v>15</v>
          </cell>
        </row>
      </sheetData>
      <sheetData sheetId="38" refreshError="1">
        <row r="5">
          <cell r="B5">
            <v>1106429787</v>
          </cell>
          <cell r="C5">
            <v>945684</v>
          </cell>
          <cell r="D5">
            <v>524286741</v>
          </cell>
          <cell r="E5">
            <v>407127874</v>
          </cell>
          <cell r="F5">
            <v>174069488</v>
          </cell>
          <cell r="G5">
            <v>769416960</v>
          </cell>
          <cell r="H5">
            <v>935586</v>
          </cell>
          <cell r="I5">
            <v>309288249</v>
          </cell>
          <cell r="J5">
            <v>287884413</v>
          </cell>
          <cell r="K5">
            <v>171308713</v>
          </cell>
          <cell r="Q5">
            <v>337012827</v>
          </cell>
          <cell r="R5">
            <v>10098</v>
          </cell>
          <cell r="S5">
            <v>214998493</v>
          </cell>
          <cell r="T5">
            <v>119243461</v>
          </cell>
          <cell r="U5">
            <v>2760776</v>
          </cell>
        </row>
        <row r="6">
          <cell r="B6">
            <v>513680216</v>
          </cell>
          <cell r="C6">
            <v>521892</v>
          </cell>
          <cell r="D6">
            <v>247332513</v>
          </cell>
          <cell r="E6">
            <v>190714571</v>
          </cell>
          <cell r="F6">
            <v>75111240</v>
          </cell>
          <cell r="G6">
            <v>164006228</v>
          </cell>
          <cell r="H6">
            <v>466146</v>
          </cell>
          <cell r="I6">
            <v>51235855</v>
          </cell>
          <cell r="J6">
            <v>65767695</v>
          </cell>
          <cell r="K6">
            <v>46536532</v>
          </cell>
          <cell r="Q6">
            <v>349673988</v>
          </cell>
          <cell r="R6">
            <v>55746</v>
          </cell>
          <cell r="S6">
            <v>196096658</v>
          </cell>
          <cell r="T6">
            <v>124946876</v>
          </cell>
          <cell r="U6">
            <v>28574708</v>
          </cell>
        </row>
        <row r="7">
          <cell r="B7">
            <v>55422063</v>
          </cell>
          <cell r="C7">
            <v>12217</v>
          </cell>
          <cell r="D7">
            <v>26398583</v>
          </cell>
          <cell r="E7">
            <v>20589674</v>
          </cell>
          <cell r="F7">
            <v>8421589</v>
          </cell>
          <cell r="G7">
            <v>30669240</v>
          </cell>
          <cell r="H7">
            <v>45177</v>
          </cell>
          <cell r="I7">
            <v>11555525</v>
          </cell>
          <cell r="J7">
            <v>12703381</v>
          </cell>
          <cell r="K7">
            <v>6365157</v>
          </cell>
          <cell r="Q7">
            <v>24752823</v>
          </cell>
          <cell r="R7">
            <v>-32960</v>
          </cell>
          <cell r="S7">
            <v>14843058</v>
          </cell>
          <cell r="T7">
            <v>7886293</v>
          </cell>
          <cell r="U7">
            <v>2056432</v>
          </cell>
        </row>
        <row r="8">
          <cell r="B8">
            <v>56805040</v>
          </cell>
          <cell r="C8">
            <v>48058</v>
          </cell>
          <cell r="D8">
            <v>27119177</v>
          </cell>
          <cell r="E8">
            <v>20733856</v>
          </cell>
          <cell r="F8">
            <v>8903949</v>
          </cell>
          <cell r="G8">
            <v>35544169</v>
          </cell>
          <cell r="H8">
            <v>44668</v>
          </cell>
          <cell r="I8">
            <v>13712299</v>
          </cell>
          <cell r="J8">
            <v>14054334</v>
          </cell>
          <cell r="K8">
            <v>7732868</v>
          </cell>
          <cell r="L8">
            <v>62.57</v>
          </cell>
          <cell r="M8" t="str">
            <v>*</v>
          </cell>
          <cell r="N8">
            <v>50.56</v>
          </cell>
          <cell r="O8">
            <v>67.78</v>
          </cell>
          <cell r="P8">
            <v>86.85</v>
          </cell>
          <cell r="Q8">
            <v>21260871</v>
          </cell>
          <cell r="R8">
            <v>3390</v>
          </cell>
          <cell r="S8">
            <v>13406878</v>
          </cell>
          <cell r="T8">
            <v>6679522</v>
          </cell>
          <cell r="U8">
            <v>1171081</v>
          </cell>
        </row>
        <row r="9">
          <cell r="B9">
            <v>57675440</v>
          </cell>
          <cell r="C9">
            <v>40608</v>
          </cell>
          <cell r="D9">
            <v>27246057</v>
          </cell>
          <cell r="E9">
            <v>21187715</v>
          </cell>
          <cell r="F9">
            <v>9201060</v>
          </cell>
          <cell r="G9">
            <v>42601731</v>
          </cell>
          <cell r="H9">
            <v>47197</v>
          </cell>
          <cell r="I9">
            <v>16698819</v>
          </cell>
          <cell r="J9">
            <v>15984883</v>
          </cell>
          <cell r="K9">
            <v>9870832</v>
          </cell>
          <cell r="L9">
            <v>73.86</v>
          </cell>
          <cell r="M9" t="str">
            <v>*</v>
          </cell>
          <cell r="N9">
            <v>61.29</v>
          </cell>
          <cell r="O9">
            <v>75.44</v>
          </cell>
          <cell r="P9">
            <v>107.28</v>
          </cell>
          <cell r="Q9">
            <v>15073709</v>
          </cell>
          <cell r="R9">
            <v>-6589</v>
          </cell>
          <cell r="S9">
            <v>10547238</v>
          </cell>
          <cell r="T9">
            <v>5202832</v>
          </cell>
          <cell r="U9">
            <v>-669772</v>
          </cell>
        </row>
        <row r="10">
          <cell r="B10">
            <v>59046402</v>
          </cell>
          <cell r="C10">
            <v>46134</v>
          </cell>
          <cell r="D10">
            <v>27627958</v>
          </cell>
          <cell r="E10">
            <v>21566920</v>
          </cell>
          <cell r="F10">
            <v>9805390</v>
          </cell>
          <cell r="G10">
            <v>50147619</v>
          </cell>
          <cell r="H10">
            <v>45484</v>
          </cell>
          <cell r="I10">
            <v>20225256</v>
          </cell>
          <cell r="J10">
            <v>18310673</v>
          </cell>
          <cell r="K10">
            <v>11566206</v>
          </cell>
          <cell r="L10">
            <v>84.93</v>
          </cell>
          <cell r="M10" t="str">
            <v>*</v>
          </cell>
          <cell r="N10">
            <v>73.209999999999994</v>
          </cell>
          <cell r="O10">
            <v>84.9</v>
          </cell>
          <cell r="P10">
            <v>117.96</v>
          </cell>
          <cell r="Q10">
            <v>8898783</v>
          </cell>
          <cell r="R10">
            <v>650</v>
          </cell>
          <cell r="S10">
            <v>7402702</v>
          </cell>
          <cell r="T10">
            <v>3256247</v>
          </cell>
          <cell r="U10">
            <v>-1760816</v>
          </cell>
        </row>
        <row r="11">
          <cell r="B11">
            <v>59250545</v>
          </cell>
          <cell r="C11">
            <v>42338</v>
          </cell>
          <cell r="D11">
            <v>27784198</v>
          </cell>
          <cell r="E11">
            <v>21768522</v>
          </cell>
          <cell r="F11">
            <v>9655487</v>
          </cell>
          <cell r="G11">
            <v>57728247</v>
          </cell>
          <cell r="H11">
            <v>46303</v>
          </cell>
          <cell r="I11">
            <v>23573134</v>
          </cell>
          <cell r="J11">
            <v>20486592</v>
          </cell>
          <cell r="K11">
            <v>13622218</v>
          </cell>
          <cell r="L11">
            <v>97.43</v>
          </cell>
          <cell r="M11" t="str">
            <v>*</v>
          </cell>
          <cell r="N11">
            <v>84.84</v>
          </cell>
          <cell r="O11">
            <v>94.11</v>
          </cell>
          <cell r="P11">
            <v>141.08000000000001</v>
          </cell>
          <cell r="Q11">
            <v>1522298</v>
          </cell>
          <cell r="R11">
            <v>-3965</v>
          </cell>
          <cell r="S11">
            <v>4211064</v>
          </cell>
          <cell r="T11">
            <v>1281930</v>
          </cell>
          <cell r="U11">
            <v>-3966731</v>
          </cell>
        </row>
        <row r="12">
          <cell r="B12">
            <v>59658834</v>
          </cell>
          <cell r="C12">
            <v>43937</v>
          </cell>
          <cell r="D12">
            <v>27921999</v>
          </cell>
          <cell r="E12">
            <v>21976239</v>
          </cell>
          <cell r="F12">
            <v>9716659</v>
          </cell>
          <cell r="G12">
            <v>63022530</v>
          </cell>
          <cell r="H12">
            <v>47547</v>
          </cell>
          <cell r="I12">
            <v>26939715</v>
          </cell>
          <cell r="J12">
            <v>22445267</v>
          </cell>
          <cell r="K12">
            <v>13590001</v>
          </cell>
          <cell r="L12">
            <v>105.64</v>
          </cell>
          <cell r="M12" t="str">
            <v>*</v>
          </cell>
          <cell r="N12">
            <v>96.48</v>
          </cell>
          <cell r="O12">
            <v>102.13</v>
          </cell>
          <cell r="P12">
            <v>139.86000000000001</v>
          </cell>
          <cell r="Q12">
            <v>-3363696</v>
          </cell>
          <cell r="R12">
            <v>-3610</v>
          </cell>
          <cell r="S12">
            <v>982284</v>
          </cell>
          <cell r="T12">
            <v>-469028</v>
          </cell>
          <cell r="U12">
            <v>-3873342</v>
          </cell>
        </row>
        <row r="13">
          <cell r="B13">
            <v>59729631</v>
          </cell>
          <cell r="C13">
            <v>45461</v>
          </cell>
          <cell r="D13">
            <v>27834049</v>
          </cell>
          <cell r="E13">
            <v>22017591</v>
          </cell>
          <cell r="F13">
            <v>9832530</v>
          </cell>
          <cell r="G13">
            <v>70034840</v>
          </cell>
          <cell r="H13">
            <v>48989</v>
          </cell>
          <cell r="I13">
            <v>30561589</v>
          </cell>
          <cell r="J13">
            <v>24931853</v>
          </cell>
          <cell r="K13">
            <v>14492409</v>
          </cell>
          <cell r="L13">
            <v>117.25</v>
          </cell>
          <cell r="M13" t="str">
            <v>*</v>
          </cell>
          <cell r="N13">
            <v>109.8</v>
          </cell>
          <cell r="O13">
            <v>113.24</v>
          </cell>
          <cell r="P13">
            <v>147.38999999999999</v>
          </cell>
          <cell r="Q13">
            <v>-10305209</v>
          </cell>
          <cell r="R13">
            <v>-3528</v>
          </cell>
          <cell r="S13">
            <v>-2727540</v>
          </cell>
          <cell r="T13">
            <v>-2914262</v>
          </cell>
          <cell r="U13">
            <v>-4659879</v>
          </cell>
        </row>
        <row r="14">
          <cell r="B14">
            <v>59607094</v>
          </cell>
          <cell r="C14">
            <v>44795</v>
          </cell>
          <cell r="D14">
            <v>27738774</v>
          </cell>
          <cell r="E14">
            <v>21935065</v>
          </cell>
          <cell r="F14">
            <v>9888460</v>
          </cell>
          <cell r="G14">
            <v>78583980</v>
          </cell>
          <cell r="H14">
            <v>48138</v>
          </cell>
          <cell r="I14">
            <v>34652073</v>
          </cell>
          <cell r="J14">
            <v>27909447</v>
          </cell>
          <cell r="K14">
            <v>15974322</v>
          </cell>
          <cell r="L14">
            <v>131.84</v>
          </cell>
          <cell r="M14" t="str">
            <v>*</v>
          </cell>
          <cell r="N14">
            <v>124.92</v>
          </cell>
          <cell r="O14">
            <v>127.24</v>
          </cell>
          <cell r="P14">
            <v>161.55000000000001</v>
          </cell>
          <cell r="Q14">
            <v>-18976886</v>
          </cell>
          <cell r="R14">
            <v>-3343</v>
          </cell>
          <cell r="S14">
            <v>-6913299</v>
          </cell>
          <cell r="T14">
            <v>-5974382</v>
          </cell>
          <cell r="U14">
            <v>-6085862</v>
          </cell>
        </row>
        <row r="15">
          <cell r="B15">
            <v>59713293</v>
          </cell>
          <cell r="C15">
            <v>52483</v>
          </cell>
          <cell r="D15">
            <v>28011263</v>
          </cell>
          <cell r="E15">
            <v>21846966</v>
          </cell>
          <cell r="F15">
            <v>9802581</v>
          </cell>
          <cell r="G15">
            <v>86614879</v>
          </cell>
          <cell r="H15">
            <v>47223</v>
          </cell>
          <cell r="I15">
            <v>38124486</v>
          </cell>
          <cell r="J15">
            <v>31008544</v>
          </cell>
          <cell r="K15">
            <v>17434626</v>
          </cell>
          <cell r="L15">
            <v>145.05000000000001</v>
          </cell>
          <cell r="M15" t="str">
            <v>*</v>
          </cell>
          <cell r="N15">
            <v>136.1</v>
          </cell>
          <cell r="O15">
            <v>141.94</v>
          </cell>
          <cell r="P15">
            <v>177.86</v>
          </cell>
          <cell r="Q15">
            <v>-26901585</v>
          </cell>
          <cell r="R15">
            <v>5260</v>
          </cell>
          <cell r="S15">
            <v>-10113222</v>
          </cell>
          <cell r="T15">
            <v>-9161578</v>
          </cell>
          <cell r="U15">
            <v>-7632045</v>
          </cell>
        </row>
        <row r="16">
          <cell r="B16">
            <v>65841229</v>
          </cell>
          <cell r="C16">
            <v>47761</v>
          </cell>
          <cell r="D16">
            <v>29272170</v>
          </cell>
          <cell r="E16">
            <v>22790755</v>
          </cell>
          <cell r="F16">
            <v>13730543</v>
          </cell>
          <cell r="G16">
            <v>90463497</v>
          </cell>
          <cell r="H16">
            <v>48714</v>
          </cell>
          <cell r="I16">
            <v>42009498</v>
          </cell>
          <cell r="J16">
            <v>34281744</v>
          </cell>
          <cell r="K16">
            <v>14123542</v>
          </cell>
          <cell r="L16">
            <v>137.4</v>
          </cell>
          <cell r="M16" t="str">
            <v>*</v>
          </cell>
          <cell r="N16">
            <v>143.51</v>
          </cell>
          <cell r="O16">
            <v>150.41999999999999</v>
          </cell>
          <cell r="P16">
            <v>102.86</v>
          </cell>
          <cell r="Q16">
            <v>-24622268</v>
          </cell>
          <cell r="R16">
            <v>-953</v>
          </cell>
          <cell r="S16">
            <v>-12737328</v>
          </cell>
          <cell r="T16">
            <v>-11490989</v>
          </cell>
          <cell r="U16">
            <v>-392998</v>
          </cell>
        </row>
      </sheetData>
      <sheetData sheetId="39" refreshError="1"/>
      <sheetData sheetId="40" refreshError="1"/>
      <sheetData sheetId="41" refreshError="1"/>
      <sheetData sheetId="42" refreshError="1">
        <row r="6">
          <cell r="B6">
            <v>35544169</v>
          </cell>
          <cell r="C6">
            <v>34253587</v>
          </cell>
          <cell r="D6">
            <v>1956699</v>
          </cell>
          <cell r="E6">
            <v>30053027</v>
          </cell>
          <cell r="F6">
            <v>657752</v>
          </cell>
          <cell r="G6">
            <v>5288</v>
          </cell>
          <cell r="H6">
            <v>1172588</v>
          </cell>
          <cell r="I6">
            <v>101157</v>
          </cell>
          <cell r="J6">
            <v>68858</v>
          </cell>
          <cell r="K6">
            <v>238218</v>
          </cell>
          <cell r="L6">
            <v>990856</v>
          </cell>
          <cell r="M6">
            <v>389507</v>
          </cell>
          <cell r="N6">
            <v>601349</v>
          </cell>
          <cell r="O6">
            <v>299726</v>
          </cell>
          <cell r="P6">
            <v>264698</v>
          </cell>
          <cell r="Q6">
            <v>35028</v>
          </cell>
        </row>
        <row r="7">
          <cell r="B7">
            <v>42601731</v>
          </cell>
          <cell r="C7">
            <v>41104541</v>
          </cell>
          <cell r="D7">
            <v>3037044</v>
          </cell>
          <cell r="E7">
            <v>35791321</v>
          </cell>
          <cell r="F7">
            <v>640301</v>
          </cell>
          <cell r="G7">
            <v>6683</v>
          </cell>
          <cell r="H7">
            <v>1145309</v>
          </cell>
          <cell r="I7">
            <v>88680</v>
          </cell>
          <cell r="J7">
            <v>86893</v>
          </cell>
          <cell r="K7">
            <v>308310</v>
          </cell>
          <cell r="L7">
            <v>1101273</v>
          </cell>
          <cell r="M7">
            <v>424006</v>
          </cell>
          <cell r="N7">
            <v>677267</v>
          </cell>
          <cell r="O7">
            <v>395917</v>
          </cell>
          <cell r="P7">
            <v>355496</v>
          </cell>
          <cell r="Q7">
            <v>40421</v>
          </cell>
        </row>
        <row r="8">
          <cell r="B8">
            <v>50147619</v>
          </cell>
          <cell r="C8">
            <v>48525037</v>
          </cell>
          <cell r="D8">
            <v>3565927</v>
          </cell>
          <cell r="E8">
            <v>42454756</v>
          </cell>
          <cell r="F8">
            <v>702376</v>
          </cell>
          <cell r="G8">
            <v>7383</v>
          </cell>
          <cell r="H8">
            <v>1191439</v>
          </cell>
          <cell r="I8">
            <v>83811</v>
          </cell>
          <cell r="J8">
            <v>145136</v>
          </cell>
          <cell r="K8">
            <v>374209</v>
          </cell>
          <cell r="L8">
            <v>1176189</v>
          </cell>
          <cell r="M8">
            <v>425000</v>
          </cell>
          <cell r="N8">
            <v>751189</v>
          </cell>
          <cell r="O8">
            <v>446393</v>
          </cell>
          <cell r="P8">
            <v>397370</v>
          </cell>
          <cell r="Q8">
            <v>49023</v>
          </cell>
        </row>
        <row r="9">
          <cell r="B9">
            <v>57728247</v>
          </cell>
          <cell r="C9">
            <v>56007307</v>
          </cell>
          <cell r="D9">
            <v>4546882</v>
          </cell>
          <cell r="E9">
            <v>48797875</v>
          </cell>
          <cell r="F9">
            <v>794432</v>
          </cell>
          <cell r="G9">
            <v>7727</v>
          </cell>
          <cell r="H9">
            <v>1189360</v>
          </cell>
          <cell r="I9">
            <v>93491</v>
          </cell>
          <cell r="J9">
            <v>128328</v>
          </cell>
          <cell r="K9">
            <v>449212</v>
          </cell>
          <cell r="L9">
            <v>1268661</v>
          </cell>
          <cell r="M9">
            <v>460756</v>
          </cell>
          <cell r="N9">
            <v>807905</v>
          </cell>
          <cell r="O9">
            <v>452279</v>
          </cell>
          <cell r="P9">
            <v>399565</v>
          </cell>
          <cell r="Q9">
            <v>52714</v>
          </cell>
        </row>
        <row r="10">
          <cell r="B10">
            <v>63022530</v>
          </cell>
          <cell r="C10">
            <v>61166358</v>
          </cell>
          <cell r="D10">
            <v>3780607</v>
          </cell>
          <cell r="E10">
            <v>54847245</v>
          </cell>
          <cell r="F10">
            <v>604579</v>
          </cell>
          <cell r="G10">
            <v>8418</v>
          </cell>
          <cell r="H10">
            <v>1186154</v>
          </cell>
          <cell r="I10">
            <v>64289</v>
          </cell>
          <cell r="J10">
            <v>138207</v>
          </cell>
          <cell r="K10">
            <v>536859</v>
          </cell>
          <cell r="L10">
            <v>1343087</v>
          </cell>
          <cell r="M10">
            <v>473720</v>
          </cell>
          <cell r="N10">
            <v>869367</v>
          </cell>
          <cell r="O10">
            <v>513085</v>
          </cell>
          <cell r="P10">
            <v>430643</v>
          </cell>
          <cell r="Q10">
            <v>82442</v>
          </cell>
        </row>
        <row r="11">
          <cell r="B11">
            <v>70034840</v>
          </cell>
          <cell r="C11">
            <v>68015872</v>
          </cell>
          <cell r="D11">
            <v>3473784</v>
          </cell>
          <cell r="E11">
            <v>61694702</v>
          </cell>
          <cell r="F11">
            <v>749855</v>
          </cell>
          <cell r="G11">
            <v>8417</v>
          </cell>
          <cell r="H11">
            <v>1209867</v>
          </cell>
          <cell r="I11">
            <v>88806</v>
          </cell>
          <cell r="J11">
            <v>147390</v>
          </cell>
          <cell r="K11">
            <v>643051</v>
          </cell>
          <cell r="L11">
            <v>1413372</v>
          </cell>
          <cell r="M11">
            <v>481929</v>
          </cell>
          <cell r="N11">
            <v>931443</v>
          </cell>
          <cell r="O11">
            <v>605596</v>
          </cell>
          <cell r="P11">
            <v>518875</v>
          </cell>
          <cell r="Q11">
            <v>86721</v>
          </cell>
        </row>
        <row r="12">
          <cell r="B12">
            <v>78583980</v>
          </cell>
          <cell r="C12">
            <v>76304780</v>
          </cell>
          <cell r="D12">
            <v>3683455</v>
          </cell>
          <cell r="E12">
            <v>69677857</v>
          </cell>
          <cell r="F12">
            <v>686909</v>
          </cell>
          <cell r="G12">
            <v>9121</v>
          </cell>
          <cell r="H12">
            <v>1195863</v>
          </cell>
          <cell r="I12">
            <v>84318</v>
          </cell>
          <cell r="J12">
            <v>200083</v>
          </cell>
          <cell r="K12">
            <v>767172</v>
          </cell>
          <cell r="L12">
            <v>1630571</v>
          </cell>
          <cell r="M12">
            <v>590049</v>
          </cell>
          <cell r="N12">
            <v>1040522</v>
          </cell>
          <cell r="O12">
            <v>648630</v>
          </cell>
          <cell r="P12">
            <v>524155</v>
          </cell>
          <cell r="Q12">
            <v>124473</v>
          </cell>
        </row>
        <row r="13">
          <cell r="B13">
            <v>86614879</v>
          </cell>
          <cell r="C13">
            <v>84207849</v>
          </cell>
          <cell r="D13">
            <v>4662141</v>
          </cell>
          <cell r="E13">
            <v>76623852</v>
          </cell>
          <cell r="F13">
            <v>425449</v>
          </cell>
          <cell r="G13">
            <v>10109</v>
          </cell>
          <cell r="H13">
            <v>1208354</v>
          </cell>
          <cell r="I13">
            <v>112147</v>
          </cell>
          <cell r="J13">
            <v>259775</v>
          </cell>
          <cell r="K13">
            <v>906021</v>
          </cell>
          <cell r="L13">
            <v>1557588</v>
          </cell>
          <cell r="M13">
            <v>501167</v>
          </cell>
          <cell r="N13">
            <v>1056421</v>
          </cell>
          <cell r="O13">
            <v>849441</v>
          </cell>
          <cell r="P13">
            <v>691658</v>
          </cell>
          <cell r="Q13">
            <v>157783</v>
          </cell>
        </row>
        <row r="14">
          <cell r="B14">
            <v>90463497</v>
          </cell>
          <cell r="C14">
            <v>87652404</v>
          </cell>
          <cell r="D14">
            <v>3168797</v>
          </cell>
          <cell r="E14">
            <v>81667626</v>
          </cell>
          <cell r="F14">
            <v>212279</v>
          </cell>
          <cell r="G14">
            <v>10110</v>
          </cell>
          <cell r="H14">
            <v>1187942</v>
          </cell>
          <cell r="I14">
            <v>61651</v>
          </cell>
          <cell r="J14">
            <v>221117</v>
          </cell>
          <cell r="K14">
            <v>1122881</v>
          </cell>
          <cell r="L14">
            <v>1571262</v>
          </cell>
          <cell r="M14">
            <v>448465</v>
          </cell>
          <cell r="N14">
            <v>1122797</v>
          </cell>
          <cell r="O14">
            <v>1239832</v>
          </cell>
          <cell r="P14">
            <v>1050566</v>
          </cell>
          <cell r="Q14">
            <v>189266</v>
          </cell>
        </row>
      </sheetData>
      <sheetData sheetId="43" refreshError="1">
        <row r="6">
          <cell r="B6">
            <v>44668</v>
          </cell>
          <cell r="C6">
            <v>43616</v>
          </cell>
          <cell r="D6">
            <v>1184</v>
          </cell>
          <cell r="E6">
            <v>36515</v>
          </cell>
          <cell r="F6">
            <v>0</v>
          </cell>
          <cell r="G6">
            <v>0</v>
          </cell>
          <cell r="H6">
            <v>5400</v>
          </cell>
          <cell r="I6">
            <v>0</v>
          </cell>
          <cell r="J6">
            <v>-78</v>
          </cell>
          <cell r="K6">
            <v>595</v>
          </cell>
          <cell r="L6">
            <v>839</v>
          </cell>
          <cell r="M6">
            <v>0</v>
          </cell>
          <cell r="N6">
            <v>839</v>
          </cell>
          <cell r="O6">
            <v>213</v>
          </cell>
          <cell r="P6">
            <v>213</v>
          </cell>
          <cell r="Q6">
            <v>0</v>
          </cell>
        </row>
        <row r="7">
          <cell r="B7">
            <v>47197</v>
          </cell>
          <cell r="C7">
            <v>46229</v>
          </cell>
          <cell r="D7">
            <v>772</v>
          </cell>
          <cell r="E7">
            <v>37491</v>
          </cell>
          <cell r="F7">
            <v>572</v>
          </cell>
          <cell r="G7">
            <v>0</v>
          </cell>
          <cell r="H7">
            <v>6814</v>
          </cell>
          <cell r="I7">
            <v>0</v>
          </cell>
          <cell r="J7">
            <v>0</v>
          </cell>
          <cell r="K7">
            <v>580</v>
          </cell>
          <cell r="L7">
            <v>852</v>
          </cell>
          <cell r="M7">
            <v>0</v>
          </cell>
          <cell r="N7">
            <v>852</v>
          </cell>
          <cell r="O7">
            <v>116</v>
          </cell>
          <cell r="P7">
            <v>115</v>
          </cell>
          <cell r="Q7">
            <v>1</v>
          </cell>
        </row>
        <row r="8">
          <cell r="B8">
            <v>45484</v>
          </cell>
          <cell r="C8">
            <v>44507</v>
          </cell>
          <cell r="D8">
            <v>235</v>
          </cell>
          <cell r="E8">
            <v>37384</v>
          </cell>
          <cell r="F8">
            <v>0</v>
          </cell>
          <cell r="G8">
            <v>0</v>
          </cell>
          <cell r="H8">
            <v>6048</v>
          </cell>
          <cell r="I8">
            <v>0</v>
          </cell>
          <cell r="J8">
            <v>114</v>
          </cell>
          <cell r="K8">
            <v>726</v>
          </cell>
          <cell r="L8">
            <v>838</v>
          </cell>
          <cell r="M8">
            <v>0</v>
          </cell>
          <cell r="N8">
            <v>838</v>
          </cell>
          <cell r="O8">
            <v>139</v>
          </cell>
          <cell r="P8">
            <v>139</v>
          </cell>
          <cell r="Q8">
            <v>0</v>
          </cell>
        </row>
        <row r="9">
          <cell r="B9">
            <v>46303</v>
          </cell>
          <cell r="C9">
            <v>45581</v>
          </cell>
          <cell r="D9">
            <v>1338</v>
          </cell>
          <cell r="E9">
            <v>38611</v>
          </cell>
          <cell r="F9">
            <v>0</v>
          </cell>
          <cell r="G9">
            <v>0</v>
          </cell>
          <cell r="H9">
            <v>4826</v>
          </cell>
          <cell r="I9">
            <v>0</v>
          </cell>
          <cell r="J9">
            <v>0</v>
          </cell>
          <cell r="K9">
            <v>806</v>
          </cell>
          <cell r="L9">
            <v>722</v>
          </cell>
          <cell r="M9">
            <v>0</v>
          </cell>
          <cell r="N9">
            <v>722</v>
          </cell>
          <cell r="O9">
            <v>0</v>
          </cell>
          <cell r="P9">
            <v>0</v>
          </cell>
          <cell r="Q9">
            <v>0</v>
          </cell>
        </row>
        <row r="10">
          <cell r="B10">
            <v>47547</v>
          </cell>
          <cell r="C10">
            <v>46699</v>
          </cell>
          <cell r="D10">
            <v>0</v>
          </cell>
          <cell r="E10">
            <v>40493</v>
          </cell>
          <cell r="F10">
            <v>572</v>
          </cell>
          <cell r="G10">
            <v>0</v>
          </cell>
          <cell r="H10">
            <v>4820</v>
          </cell>
          <cell r="I10">
            <v>0</v>
          </cell>
          <cell r="J10">
            <v>0</v>
          </cell>
          <cell r="K10">
            <v>814</v>
          </cell>
          <cell r="L10">
            <v>704</v>
          </cell>
          <cell r="M10">
            <v>0</v>
          </cell>
          <cell r="N10">
            <v>704</v>
          </cell>
          <cell r="O10">
            <v>144</v>
          </cell>
          <cell r="P10">
            <v>144</v>
          </cell>
          <cell r="Q10">
            <v>0</v>
          </cell>
        </row>
        <row r="11">
          <cell r="B11">
            <v>48989</v>
          </cell>
          <cell r="C11">
            <v>48286</v>
          </cell>
          <cell r="D11">
            <v>0</v>
          </cell>
          <cell r="E11">
            <v>42350</v>
          </cell>
          <cell r="F11">
            <v>0</v>
          </cell>
          <cell r="G11">
            <v>0</v>
          </cell>
          <cell r="H11">
            <v>4786</v>
          </cell>
          <cell r="I11">
            <v>0</v>
          </cell>
          <cell r="J11">
            <v>0</v>
          </cell>
          <cell r="K11">
            <v>1150</v>
          </cell>
          <cell r="L11">
            <v>703</v>
          </cell>
          <cell r="M11">
            <v>0</v>
          </cell>
          <cell r="N11">
            <v>703</v>
          </cell>
          <cell r="O11">
            <v>0</v>
          </cell>
          <cell r="P11">
            <v>0</v>
          </cell>
          <cell r="Q11">
            <v>0</v>
          </cell>
        </row>
        <row r="12">
          <cell r="B12">
            <v>48138</v>
          </cell>
          <cell r="C12">
            <v>47709</v>
          </cell>
          <cell r="D12">
            <v>0</v>
          </cell>
          <cell r="E12">
            <v>41552</v>
          </cell>
          <cell r="F12">
            <v>0</v>
          </cell>
          <cell r="G12">
            <v>0</v>
          </cell>
          <cell r="H12">
            <v>4717</v>
          </cell>
          <cell r="I12">
            <v>0</v>
          </cell>
          <cell r="J12">
            <v>36</v>
          </cell>
          <cell r="K12">
            <v>1404</v>
          </cell>
          <cell r="L12">
            <v>429</v>
          </cell>
          <cell r="M12">
            <v>0</v>
          </cell>
          <cell r="N12">
            <v>429</v>
          </cell>
          <cell r="O12">
            <v>0</v>
          </cell>
          <cell r="P12">
            <v>0</v>
          </cell>
          <cell r="Q12">
            <v>0</v>
          </cell>
        </row>
        <row r="13">
          <cell r="B13">
            <v>47223</v>
          </cell>
          <cell r="C13">
            <v>46794</v>
          </cell>
          <cell r="D13">
            <v>0</v>
          </cell>
          <cell r="E13">
            <v>40472</v>
          </cell>
          <cell r="F13">
            <v>0</v>
          </cell>
          <cell r="G13">
            <v>0</v>
          </cell>
          <cell r="H13">
            <v>4648</v>
          </cell>
          <cell r="I13">
            <v>0</v>
          </cell>
          <cell r="J13">
            <v>81</v>
          </cell>
          <cell r="K13">
            <v>1592</v>
          </cell>
          <cell r="L13">
            <v>429</v>
          </cell>
          <cell r="M13">
            <v>0</v>
          </cell>
          <cell r="N13">
            <v>429</v>
          </cell>
          <cell r="O13">
            <v>0</v>
          </cell>
          <cell r="P13">
            <v>0</v>
          </cell>
          <cell r="Q13">
            <v>0</v>
          </cell>
        </row>
        <row r="14">
          <cell r="B14">
            <v>48714</v>
          </cell>
          <cell r="C14">
            <v>48438</v>
          </cell>
          <cell r="D14">
            <v>1472</v>
          </cell>
          <cell r="E14">
            <v>39345</v>
          </cell>
          <cell r="F14">
            <v>1133</v>
          </cell>
          <cell r="G14">
            <v>0</v>
          </cell>
          <cell r="H14">
            <v>4488</v>
          </cell>
          <cell r="I14">
            <v>0</v>
          </cell>
          <cell r="J14">
            <v>0</v>
          </cell>
          <cell r="K14">
            <v>2000</v>
          </cell>
          <cell r="L14">
            <v>147</v>
          </cell>
          <cell r="M14">
            <v>0</v>
          </cell>
          <cell r="N14">
            <v>147</v>
          </cell>
          <cell r="O14">
            <v>128</v>
          </cell>
          <cell r="P14">
            <v>0</v>
          </cell>
          <cell r="Q14">
            <v>128</v>
          </cell>
        </row>
      </sheetData>
      <sheetData sheetId="44" refreshError="1">
        <row r="6">
          <cell r="B6">
            <v>13712299</v>
          </cell>
          <cell r="C6">
            <v>12882206</v>
          </cell>
          <cell r="D6">
            <v>264869</v>
          </cell>
          <cell r="E6">
            <v>11872894</v>
          </cell>
          <cell r="F6">
            <v>74834</v>
          </cell>
          <cell r="G6">
            <v>137</v>
          </cell>
          <cell r="H6">
            <v>444025</v>
          </cell>
          <cell r="I6">
            <v>56967</v>
          </cell>
          <cell r="J6">
            <v>39656</v>
          </cell>
          <cell r="K6">
            <v>128824</v>
          </cell>
          <cell r="L6">
            <v>629296</v>
          </cell>
          <cell r="M6">
            <v>237823</v>
          </cell>
          <cell r="N6">
            <v>391473</v>
          </cell>
          <cell r="O6">
            <v>200797</v>
          </cell>
          <cell r="P6">
            <v>178220</v>
          </cell>
          <cell r="Q6">
            <v>22577</v>
          </cell>
        </row>
        <row r="7">
          <cell r="B7">
            <v>16698819</v>
          </cell>
          <cell r="C7">
            <v>15722151</v>
          </cell>
          <cell r="D7">
            <v>201201</v>
          </cell>
          <cell r="E7">
            <v>14741485</v>
          </cell>
          <cell r="F7">
            <v>88076</v>
          </cell>
          <cell r="G7">
            <v>139</v>
          </cell>
          <cell r="H7">
            <v>427119</v>
          </cell>
          <cell r="I7">
            <v>34351</v>
          </cell>
          <cell r="J7">
            <v>62792</v>
          </cell>
          <cell r="K7">
            <v>166988</v>
          </cell>
          <cell r="L7">
            <v>701591</v>
          </cell>
          <cell r="M7">
            <v>260969</v>
          </cell>
          <cell r="N7">
            <v>440622</v>
          </cell>
          <cell r="O7">
            <v>275077</v>
          </cell>
          <cell r="P7">
            <v>251044</v>
          </cell>
          <cell r="Q7">
            <v>24033</v>
          </cell>
        </row>
        <row r="8">
          <cell r="B8">
            <v>20225256</v>
          </cell>
          <cell r="C8">
            <v>19136400</v>
          </cell>
          <cell r="D8">
            <v>194532</v>
          </cell>
          <cell r="E8">
            <v>18045130</v>
          </cell>
          <cell r="F8">
            <v>98951</v>
          </cell>
          <cell r="G8">
            <v>176</v>
          </cell>
          <cell r="H8">
            <v>440270</v>
          </cell>
          <cell r="I8">
            <v>37783</v>
          </cell>
          <cell r="J8">
            <v>118195</v>
          </cell>
          <cell r="K8">
            <v>201363</v>
          </cell>
          <cell r="L8">
            <v>751899</v>
          </cell>
          <cell r="M8">
            <v>263980</v>
          </cell>
          <cell r="N8">
            <v>487919</v>
          </cell>
          <cell r="O8">
            <v>336957</v>
          </cell>
          <cell r="P8">
            <v>304759</v>
          </cell>
          <cell r="Q8">
            <v>32198</v>
          </cell>
        </row>
        <row r="9">
          <cell r="B9">
            <v>23573134</v>
          </cell>
          <cell r="C9">
            <v>22435551</v>
          </cell>
          <cell r="D9">
            <v>453702</v>
          </cell>
          <cell r="E9">
            <v>21066695</v>
          </cell>
          <cell r="F9">
            <v>92248</v>
          </cell>
          <cell r="G9">
            <v>173</v>
          </cell>
          <cell r="H9">
            <v>452749</v>
          </cell>
          <cell r="I9">
            <v>41891</v>
          </cell>
          <cell r="J9">
            <v>86023</v>
          </cell>
          <cell r="K9">
            <v>242070</v>
          </cell>
          <cell r="L9">
            <v>785564</v>
          </cell>
          <cell r="M9">
            <v>266583</v>
          </cell>
          <cell r="N9">
            <v>518981</v>
          </cell>
          <cell r="O9">
            <v>352019</v>
          </cell>
          <cell r="P9">
            <v>311212</v>
          </cell>
          <cell r="Q9">
            <v>40807</v>
          </cell>
        </row>
        <row r="10">
          <cell r="B10">
            <v>26939715</v>
          </cell>
          <cell r="C10">
            <v>25696564</v>
          </cell>
          <cell r="D10">
            <v>714805</v>
          </cell>
          <cell r="E10">
            <v>24007068</v>
          </cell>
          <cell r="F10">
            <v>93162</v>
          </cell>
          <cell r="G10">
            <v>173</v>
          </cell>
          <cell r="H10">
            <v>472680</v>
          </cell>
          <cell r="I10">
            <v>19652</v>
          </cell>
          <cell r="J10">
            <v>97632</v>
          </cell>
          <cell r="K10">
            <v>291392</v>
          </cell>
          <cell r="L10">
            <v>826261</v>
          </cell>
          <cell r="M10">
            <v>273991</v>
          </cell>
          <cell r="N10">
            <v>552270</v>
          </cell>
          <cell r="O10">
            <v>416890</v>
          </cell>
          <cell r="P10">
            <v>351320</v>
          </cell>
          <cell r="Q10">
            <v>65570</v>
          </cell>
        </row>
        <row r="11">
          <cell r="B11">
            <v>30561589</v>
          </cell>
          <cell r="C11">
            <v>29204164</v>
          </cell>
          <cell r="D11">
            <v>786914</v>
          </cell>
          <cell r="E11">
            <v>27342227</v>
          </cell>
          <cell r="F11">
            <v>97770</v>
          </cell>
          <cell r="G11">
            <v>152</v>
          </cell>
          <cell r="H11">
            <v>491853</v>
          </cell>
          <cell r="I11">
            <v>32226</v>
          </cell>
          <cell r="J11">
            <v>101684</v>
          </cell>
          <cell r="K11">
            <v>351338</v>
          </cell>
          <cell r="L11">
            <v>877982</v>
          </cell>
          <cell r="M11">
            <v>287325</v>
          </cell>
          <cell r="N11">
            <v>590657</v>
          </cell>
          <cell r="O11">
            <v>479443</v>
          </cell>
          <cell r="P11">
            <v>408251</v>
          </cell>
          <cell r="Q11">
            <v>71192</v>
          </cell>
        </row>
        <row r="12">
          <cell r="B12">
            <v>34652073</v>
          </cell>
          <cell r="C12">
            <v>33075540</v>
          </cell>
          <cell r="D12">
            <v>840444</v>
          </cell>
          <cell r="E12">
            <v>31099664</v>
          </cell>
          <cell r="F12">
            <v>71312</v>
          </cell>
          <cell r="G12">
            <v>672</v>
          </cell>
          <cell r="H12">
            <v>477650</v>
          </cell>
          <cell r="I12">
            <v>21076</v>
          </cell>
          <cell r="J12">
            <v>143934</v>
          </cell>
          <cell r="K12">
            <v>420787</v>
          </cell>
          <cell r="L12">
            <v>1066646</v>
          </cell>
          <cell r="M12">
            <v>393146</v>
          </cell>
          <cell r="N12">
            <v>673500</v>
          </cell>
          <cell r="O12">
            <v>509888</v>
          </cell>
          <cell r="P12">
            <v>401676</v>
          </cell>
          <cell r="Q12">
            <v>108211</v>
          </cell>
        </row>
        <row r="13">
          <cell r="B13">
            <v>38124486</v>
          </cell>
          <cell r="C13">
            <v>36484294</v>
          </cell>
          <cell r="D13">
            <v>1344706</v>
          </cell>
          <cell r="E13">
            <v>33911415</v>
          </cell>
          <cell r="F13">
            <v>53658</v>
          </cell>
          <cell r="G13">
            <v>1641</v>
          </cell>
          <cell r="H13">
            <v>476127</v>
          </cell>
          <cell r="I13">
            <v>27792</v>
          </cell>
          <cell r="J13">
            <v>170675</v>
          </cell>
          <cell r="K13">
            <v>498279</v>
          </cell>
          <cell r="L13">
            <v>971172</v>
          </cell>
          <cell r="M13">
            <v>307420</v>
          </cell>
          <cell r="N13">
            <v>663752</v>
          </cell>
          <cell r="O13">
            <v>669020</v>
          </cell>
          <cell r="P13">
            <v>529478</v>
          </cell>
          <cell r="Q13">
            <v>139541</v>
          </cell>
        </row>
        <row r="14">
          <cell r="B14">
            <v>42009498</v>
          </cell>
          <cell r="C14">
            <v>40028964</v>
          </cell>
          <cell r="D14">
            <v>1684212</v>
          </cell>
          <cell r="E14">
            <v>37054592</v>
          </cell>
          <cell r="F14">
            <v>53295</v>
          </cell>
          <cell r="G14">
            <v>1134</v>
          </cell>
          <cell r="H14">
            <v>466436</v>
          </cell>
          <cell r="I14">
            <v>13204</v>
          </cell>
          <cell r="J14">
            <v>137394</v>
          </cell>
          <cell r="K14">
            <v>618698</v>
          </cell>
          <cell r="L14">
            <v>921492</v>
          </cell>
          <cell r="M14">
            <v>228321</v>
          </cell>
          <cell r="N14">
            <v>693171</v>
          </cell>
          <cell r="O14">
            <v>1059041</v>
          </cell>
          <cell r="P14">
            <v>887665</v>
          </cell>
          <cell r="Q14">
            <v>171376</v>
          </cell>
        </row>
      </sheetData>
      <sheetData sheetId="45" refreshError="1">
        <row r="6">
          <cell r="B6">
            <v>14054334</v>
          </cell>
          <cell r="C6">
            <v>13743026</v>
          </cell>
          <cell r="D6">
            <v>142468</v>
          </cell>
          <cell r="E6">
            <v>12592616</v>
          </cell>
          <cell r="F6">
            <v>125302</v>
          </cell>
          <cell r="G6">
            <v>652</v>
          </cell>
          <cell r="H6">
            <v>723163</v>
          </cell>
          <cell r="I6">
            <v>44190</v>
          </cell>
          <cell r="J6">
            <v>28034</v>
          </cell>
          <cell r="K6">
            <v>86601</v>
          </cell>
          <cell r="L6">
            <v>243444</v>
          </cell>
          <cell r="M6">
            <v>112908</v>
          </cell>
          <cell r="N6">
            <v>130536</v>
          </cell>
          <cell r="O6">
            <v>67864</v>
          </cell>
          <cell r="P6">
            <v>59677</v>
          </cell>
          <cell r="Q6">
            <v>8187</v>
          </cell>
        </row>
        <row r="7">
          <cell r="B7">
            <v>15984883</v>
          </cell>
          <cell r="C7">
            <v>15626307</v>
          </cell>
          <cell r="D7">
            <v>133498</v>
          </cell>
          <cell r="E7">
            <v>14466221</v>
          </cell>
          <cell r="F7">
            <v>126384</v>
          </cell>
          <cell r="G7">
            <v>774</v>
          </cell>
          <cell r="H7">
            <v>711376</v>
          </cell>
          <cell r="I7">
            <v>54329</v>
          </cell>
          <cell r="J7">
            <v>21514</v>
          </cell>
          <cell r="K7">
            <v>112211</v>
          </cell>
          <cell r="L7">
            <v>272432</v>
          </cell>
          <cell r="M7">
            <v>122431</v>
          </cell>
          <cell r="N7">
            <v>150001</v>
          </cell>
          <cell r="O7">
            <v>86144</v>
          </cell>
          <cell r="P7">
            <v>73307</v>
          </cell>
          <cell r="Q7">
            <v>12837</v>
          </cell>
        </row>
        <row r="8">
          <cell r="B8">
            <v>18310673</v>
          </cell>
          <cell r="C8">
            <v>17943011</v>
          </cell>
          <cell r="D8">
            <v>149489</v>
          </cell>
          <cell r="E8">
            <v>16702254</v>
          </cell>
          <cell r="F8">
            <v>135708</v>
          </cell>
          <cell r="G8">
            <v>896</v>
          </cell>
          <cell r="H8">
            <v>745121</v>
          </cell>
          <cell r="I8">
            <v>46028</v>
          </cell>
          <cell r="J8">
            <v>25577</v>
          </cell>
          <cell r="K8">
            <v>137938</v>
          </cell>
          <cell r="L8">
            <v>282591</v>
          </cell>
          <cell r="M8">
            <v>115968</v>
          </cell>
          <cell r="N8">
            <v>166623</v>
          </cell>
          <cell r="O8">
            <v>85071</v>
          </cell>
          <cell r="P8">
            <v>72326</v>
          </cell>
          <cell r="Q8">
            <v>12745</v>
          </cell>
        </row>
        <row r="9">
          <cell r="B9">
            <v>20486592</v>
          </cell>
          <cell r="C9">
            <v>20053104</v>
          </cell>
          <cell r="D9">
            <v>166474</v>
          </cell>
          <cell r="E9">
            <v>18775728</v>
          </cell>
          <cell r="F9">
            <v>119961</v>
          </cell>
          <cell r="G9">
            <v>894</v>
          </cell>
          <cell r="H9">
            <v>731785</v>
          </cell>
          <cell r="I9">
            <v>51600</v>
          </cell>
          <cell r="J9">
            <v>40609</v>
          </cell>
          <cell r="K9">
            <v>166053</v>
          </cell>
          <cell r="L9">
            <v>350798</v>
          </cell>
          <cell r="M9">
            <v>164049</v>
          </cell>
          <cell r="N9">
            <v>186749</v>
          </cell>
          <cell r="O9">
            <v>82690</v>
          </cell>
          <cell r="P9">
            <v>72827</v>
          </cell>
          <cell r="Q9">
            <v>9863</v>
          </cell>
        </row>
        <row r="10">
          <cell r="B10">
            <v>22445267</v>
          </cell>
          <cell r="C10">
            <v>21992995</v>
          </cell>
          <cell r="D10">
            <v>145844</v>
          </cell>
          <cell r="E10">
            <v>20743014</v>
          </cell>
          <cell r="F10">
            <v>113973</v>
          </cell>
          <cell r="G10">
            <v>1285</v>
          </cell>
          <cell r="H10">
            <v>708654</v>
          </cell>
          <cell r="I10">
            <v>44637</v>
          </cell>
          <cell r="J10">
            <v>39594</v>
          </cell>
          <cell r="K10">
            <v>195994</v>
          </cell>
          <cell r="L10">
            <v>375964</v>
          </cell>
          <cell r="M10">
            <v>165460</v>
          </cell>
          <cell r="N10">
            <v>210504</v>
          </cell>
          <cell r="O10">
            <v>76308</v>
          </cell>
          <cell r="P10">
            <v>65841</v>
          </cell>
          <cell r="Q10">
            <v>10467</v>
          </cell>
        </row>
        <row r="11">
          <cell r="B11">
            <v>24931853</v>
          </cell>
          <cell r="C11">
            <v>24444041</v>
          </cell>
          <cell r="D11">
            <v>134925</v>
          </cell>
          <cell r="E11">
            <v>23129432</v>
          </cell>
          <cell r="F11">
            <v>131681</v>
          </cell>
          <cell r="G11">
            <v>1286</v>
          </cell>
          <cell r="H11">
            <v>713228</v>
          </cell>
          <cell r="I11">
            <v>56580</v>
          </cell>
          <cell r="J11">
            <v>43592</v>
          </cell>
          <cell r="K11">
            <v>233317</v>
          </cell>
          <cell r="L11">
            <v>387182</v>
          </cell>
          <cell r="M11">
            <v>158175</v>
          </cell>
          <cell r="N11">
            <v>229007</v>
          </cell>
          <cell r="O11">
            <v>100630</v>
          </cell>
          <cell r="P11">
            <v>90547</v>
          </cell>
          <cell r="Q11">
            <v>10083</v>
          </cell>
        </row>
        <row r="12">
          <cell r="B12">
            <v>27909447</v>
          </cell>
          <cell r="C12">
            <v>27419209</v>
          </cell>
          <cell r="D12">
            <v>156745</v>
          </cell>
          <cell r="E12">
            <v>26022835</v>
          </cell>
          <cell r="F12">
            <v>131826</v>
          </cell>
          <cell r="G12">
            <v>1488</v>
          </cell>
          <cell r="H12">
            <v>713496</v>
          </cell>
          <cell r="I12">
            <v>63242</v>
          </cell>
          <cell r="J12">
            <v>51714</v>
          </cell>
          <cell r="K12">
            <v>277863</v>
          </cell>
          <cell r="L12">
            <v>398634</v>
          </cell>
          <cell r="M12">
            <v>150631</v>
          </cell>
          <cell r="N12">
            <v>248003</v>
          </cell>
          <cell r="O12">
            <v>91604</v>
          </cell>
          <cell r="P12">
            <v>80026</v>
          </cell>
          <cell r="Q12">
            <v>11578</v>
          </cell>
        </row>
        <row r="13">
          <cell r="B13">
            <v>31008544</v>
          </cell>
          <cell r="C13">
            <v>30448482</v>
          </cell>
          <cell r="D13">
            <v>234965</v>
          </cell>
          <cell r="E13">
            <v>28882815</v>
          </cell>
          <cell r="F13">
            <v>110653</v>
          </cell>
          <cell r="G13">
            <v>1509</v>
          </cell>
          <cell r="H13">
            <v>727578</v>
          </cell>
          <cell r="I13">
            <v>84355</v>
          </cell>
          <cell r="J13">
            <v>80668</v>
          </cell>
          <cell r="K13">
            <v>325939</v>
          </cell>
          <cell r="L13">
            <v>430250</v>
          </cell>
          <cell r="M13">
            <v>161668</v>
          </cell>
          <cell r="N13">
            <v>268582</v>
          </cell>
          <cell r="O13">
            <v>129812</v>
          </cell>
          <cell r="P13">
            <v>114136</v>
          </cell>
          <cell r="Q13">
            <v>15676</v>
          </cell>
        </row>
        <row r="14">
          <cell r="B14">
            <v>34281744</v>
          </cell>
          <cell r="C14">
            <v>33671498</v>
          </cell>
          <cell r="D14">
            <v>260912</v>
          </cell>
          <cell r="E14">
            <v>32084100</v>
          </cell>
          <cell r="F14">
            <v>78161</v>
          </cell>
          <cell r="G14">
            <v>1538</v>
          </cell>
          <cell r="H14">
            <v>717018</v>
          </cell>
          <cell r="I14">
            <v>48448</v>
          </cell>
          <cell r="J14">
            <v>77932</v>
          </cell>
          <cell r="K14">
            <v>403391</v>
          </cell>
          <cell r="L14">
            <v>469699</v>
          </cell>
          <cell r="M14">
            <v>173013</v>
          </cell>
          <cell r="N14">
            <v>296686</v>
          </cell>
          <cell r="O14">
            <v>140547</v>
          </cell>
          <cell r="P14">
            <v>124894</v>
          </cell>
          <cell r="Q14">
            <v>15653</v>
          </cell>
        </row>
      </sheetData>
      <sheetData sheetId="46" refreshError="1">
        <row r="6">
          <cell r="B6">
            <v>7732868</v>
          </cell>
          <cell r="C6">
            <v>7584739</v>
          </cell>
          <cell r="D6">
            <v>1548178</v>
          </cell>
          <cell r="E6">
            <v>5551002</v>
          </cell>
          <cell r="F6">
            <v>457616</v>
          </cell>
          <cell r="G6">
            <v>4499</v>
          </cell>
          <cell r="H6">
            <v>1246</v>
          </cell>
          <cell r="I6">
            <v>22198</v>
          </cell>
          <cell r="J6">
            <v>117277</v>
          </cell>
          <cell r="K6">
            <v>38776</v>
          </cell>
          <cell r="L6">
            <v>78501</v>
          </cell>
          <cell r="M6">
            <v>30852</v>
          </cell>
          <cell r="N6">
            <v>26588</v>
          </cell>
          <cell r="O6">
            <v>4264</v>
          </cell>
        </row>
        <row r="7">
          <cell r="B7">
            <v>9870832</v>
          </cell>
          <cell r="C7">
            <v>9709854</v>
          </cell>
          <cell r="D7">
            <v>2701573</v>
          </cell>
          <cell r="E7">
            <v>6546124</v>
          </cell>
          <cell r="F7">
            <v>425269</v>
          </cell>
          <cell r="G7">
            <v>5770</v>
          </cell>
          <cell r="H7">
            <v>2587</v>
          </cell>
          <cell r="I7">
            <v>28531</v>
          </cell>
          <cell r="J7">
            <v>126398</v>
          </cell>
          <cell r="K7">
            <v>40606</v>
          </cell>
          <cell r="L7">
            <v>85792</v>
          </cell>
          <cell r="M7">
            <v>34580</v>
          </cell>
          <cell r="N7">
            <v>31030</v>
          </cell>
          <cell r="O7">
            <v>3550</v>
          </cell>
        </row>
        <row r="8">
          <cell r="B8">
            <v>11566206</v>
          </cell>
          <cell r="C8">
            <v>11401119</v>
          </cell>
          <cell r="D8">
            <v>3221671</v>
          </cell>
          <cell r="E8">
            <v>7669989</v>
          </cell>
          <cell r="F8">
            <v>467716</v>
          </cell>
          <cell r="G8">
            <v>6311</v>
          </cell>
          <cell r="H8">
            <v>1250</v>
          </cell>
          <cell r="I8">
            <v>34182</v>
          </cell>
          <cell r="J8">
            <v>140860</v>
          </cell>
          <cell r="K8">
            <v>45052</v>
          </cell>
          <cell r="L8">
            <v>95808</v>
          </cell>
          <cell r="M8">
            <v>24227</v>
          </cell>
          <cell r="N8">
            <v>20147</v>
          </cell>
          <cell r="O8">
            <v>4080</v>
          </cell>
        </row>
        <row r="9">
          <cell r="B9">
            <v>13622218</v>
          </cell>
          <cell r="C9">
            <v>13473071</v>
          </cell>
          <cell r="D9">
            <v>3925368</v>
          </cell>
          <cell r="E9">
            <v>8916841</v>
          </cell>
          <cell r="F9">
            <v>582223</v>
          </cell>
          <cell r="G9">
            <v>6660</v>
          </cell>
          <cell r="H9">
            <v>1696</v>
          </cell>
          <cell r="I9">
            <v>40283</v>
          </cell>
          <cell r="J9">
            <v>131577</v>
          </cell>
          <cell r="K9">
            <v>30124</v>
          </cell>
          <cell r="L9">
            <v>101453</v>
          </cell>
          <cell r="M9">
            <v>17570</v>
          </cell>
          <cell r="N9">
            <v>15526</v>
          </cell>
          <cell r="O9">
            <v>2044</v>
          </cell>
        </row>
        <row r="10">
          <cell r="B10">
            <v>13590001</v>
          </cell>
          <cell r="C10">
            <v>13430100</v>
          </cell>
          <cell r="D10">
            <v>2919958</v>
          </cell>
          <cell r="E10">
            <v>10056670</v>
          </cell>
          <cell r="F10">
            <v>396872</v>
          </cell>
          <cell r="G10">
            <v>6960</v>
          </cell>
          <cell r="H10">
            <v>981</v>
          </cell>
          <cell r="I10">
            <v>48659</v>
          </cell>
          <cell r="J10">
            <v>140158</v>
          </cell>
          <cell r="K10">
            <v>34269</v>
          </cell>
          <cell r="L10">
            <v>105889</v>
          </cell>
          <cell r="M10">
            <v>19743</v>
          </cell>
          <cell r="N10">
            <v>13338</v>
          </cell>
          <cell r="O10">
            <v>6405</v>
          </cell>
        </row>
        <row r="11">
          <cell r="B11">
            <v>14492409</v>
          </cell>
          <cell r="C11">
            <v>14319381</v>
          </cell>
          <cell r="D11">
            <v>2551945</v>
          </cell>
          <cell r="E11">
            <v>11180693</v>
          </cell>
          <cell r="F11">
            <v>520404</v>
          </cell>
          <cell r="G11">
            <v>6979</v>
          </cell>
          <cell r="H11">
            <v>2114</v>
          </cell>
          <cell r="I11">
            <v>57246</v>
          </cell>
          <cell r="J11">
            <v>147505</v>
          </cell>
          <cell r="K11">
            <v>36429</v>
          </cell>
          <cell r="L11">
            <v>111076</v>
          </cell>
          <cell r="M11">
            <v>25523</v>
          </cell>
          <cell r="N11">
            <v>20077</v>
          </cell>
          <cell r="O11">
            <v>5446</v>
          </cell>
        </row>
        <row r="12">
          <cell r="B12">
            <v>15974322</v>
          </cell>
          <cell r="C12">
            <v>15762322</v>
          </cell>
          <cell r="D12">
            <v>2686266</v>
          </cell>
          <cell r="E12">
            <v>12513806</v>
          </cell>
          <cell r="F12">
            <v>483771</v>
          </cell>
          <cell r="G12">
            <v>6961</v>
          </cell>
          <cell r="H12">
            <v>4399</v>
          </cell>
          <cell r="I12">
            <v>67118</v>
          </cell>
          <cell r="J12">
            <v>164862</v>
          </cell>
          <cell r="K12">
            <v>46272</v>
          </cell>
          <cell r="L12">
            <v>118590</v>
          </cell>
          <cell r="M12">
            <v>47138</v>
          </cell>
          <cell r="N12">
            <v>42453</v>
          </cell>
          <cell r="O12">
            <v>4684</v>
          </cell>
        </row>
        <row r="13">
          <cell r="B13">
            <v>17434626</v>
          </cell>
          <cell r="C13">
            <v>17228280</v>
          </cell>
          <cell r="D13">
            <v>3082470</v>
          </cell>
          <cell r="E13">
            <v>13789150</v>
          </cell>
          <cell r="F13">
            <v>261138</v>
          </cell>
          <cell r="G13">
            <v>6958</v>
          </cell>
          <cell r="H13">
            <v>8352</v>
          </cell>
          <cell r="I13">
            <v>80212</v>
          </cell>
          <cell r="J13">
            <v>155737</v>
          </cell>
          <cell r="K13">
            <v>32078</v>
          </cell>
          <cell r="L13">
            <v>123659</v>
          </cell>
          <cell r="M13">
            <v>50609</v>
          </cell>
          <cell r="N13">
            <v>48044</v>
          </cell>
          <cell r="O13">
            <v>2565</v>
          </cell>
        </row>
        <row r="14">
          <cell r="B14">
            <v>14123542</v>
          </cell>
          <cell r="C14">
            <v>13903503</v>
          </cell>
          <cell r="D14">
            <v>1222201</v>
          </cell>
          <cell r="E14">
            <v>12489589</v>
          </cell>
          <cell r="F14">
            <v>79690</v>
          </cell>
          <cell r="G14">
            <v>7438</v>
          </cell>
          <cell r="H14">
            <v>5792</v>
          </cell>
          <cell r="I14">
            <v>98792</v>
          </cell>
          <cell r="J14">
            <v>179924</v>
          </cell>
          <cell r="K14">
            <v>47131</v>
          </cell>
          <cell r="L14">
            <v>132793</v>
          </cell>
          <cell r="M14">
            <v>40115</v>
          </cell>
          <cell r="N14">
            <v>38007</v>
          </cell>
          <cell r="O14">
            <v>2108</v>
          </cell>
        </row>
      </sheetData>
      <sheetData sheetId="47" refreshError="1">
        <row r="11">
          <cell r="B11">
            <v>195912</v>
          </cell>
          <cell r="C11">
            <v>30230260386</v>
          </cell>
          <cell r="D11">
            <v>220</v>
          </cell>
          <cell r="E11">
            <v>41688020</v>
          </cell>
          <cell r="F11">
            <v>80146</v>
          </cell>
          <cell r="G11">
            <v>12041063855</v>
          </cell>
          <cell r="H11">
            <v>78368</v>
          </cell>
          <cell r="I11">
            <v>12791090876</v>
          </cell>
          <cell r="J11">
            <v>37178</v>
          </cell>
          <cell r="K11">
            <v>5356417635</v>
          </cell>
        </row>
        <row r="12">
          <cell r="B12">
            <v>212943</v>
          </cell>
          <cell r="C12">
            <v>35744062123</v>
          </cell>
          <cell r="D12">
            <v>221</v>
          </cell>
          <cell r="E12">
            <v>42818010</v>
          </cell>
          <cell r="F12">
            <v>89194</v>
          </cell>
          <cell r="G12">
            <v>14804374696</v>
          </cell>
          <cell r="H12">
            <v>83012</v>
          </cell>
          <cell r="I12">
            <v>14544139342</v>
          </cell>
          <cell r="J12">
            <v>40516</v>
          </cell>
          <cell r="K12">
            <v>6352730075</v>
          </cell>
        </row>
        <row r="13">
          <cell r="B13">
            <v>232849</v>
          </cell>
          <cell r="C13">
            <v>42393374378</v>
          </cell>
          <cell r="D13">
            <v>226</v>
          </cell>
          <cell r="E13">
            <v>44367363</v>
          </cell>
          <cell r="F13">
            <v>100025</v>
          </cell>
          <cell r="G13">
            <v>18166050152</v>
          </cell>
          <cell r="H13">
            <v>88524</v>
          </cell>
          <cell r="I13">
            <v>16739426525</v>
          </cell>
          <cell r="J13">
            <v>44074</v>
          </cell>
          <cell r="K13">
            <v>7443530338</v>
          </cell>
        </row>
        <row r="14">
          <cell r="B14">
            <v>251909</v>
          </cell>
          <cell r="C14">
            <v>48849730788</v>
          </cell>
          <cell r="D14">
            <v>225</v>
          </cell>
          <cell r="E14">
            <v>45136513</v>
          </cell>
          <cell r="F14">
            <v>109461</v>
          </cell>
          <cell r="G14">
            <v>21303572664</v>
          </cell>
          <cell r="H14">
            <v>94095</v>
          </cell>
          <cell r="I14">
            <v>18895039519</v>
          </cell>
          <cell r="J14">
            <v>48128</v>
          </cell>
          <cell r="K14">
            <v>8605982092</v>
          </cell>
        </row>
        <row r="15">
          <cell r="B15">
            <v>268704</v>
          </cell>
          <cell r="C15">
            <v>55065741178</v>
          </cell>
          <cell r="D15">
            <v>227</v>
          </cell>
          <cell r="E15">
            <v>45028238</v>
          </cell>
          <cell r="F15">
            <v>117985</v>
          </cell>
          <cell r="G15">
            <v>24279442320</v>
          </cell>
          <cell r="H15">
            <v>98800</v>
          </cell>
          <cell r="I15">
            <v>20881569174</v>
          </cell>
          <cell r="J15">
            <v>51692</v>
          </cell>
          <cell r="K15">
            <v>9859701446</v>
          </cell>
        </row>
        <row r="16">
          <cell r="B16">
            <v>286221</v>
          </cell>
          <cell r="C16">
            <v>61492590965</v>
          </cell>
          <cell r="D16">
            <v>236</v>
          </cell>
          <cell r="E16">
            <v>48539381</v>
          </cell>
          <cell r="F16">
            <v>127310</v>
          </cell>
          <cell r="G16">
            <v>27516816740</v>
          </cell>
          <cell r="H16">
            <v>103840</v>
          </cell>
          <cell r="I16">
            <v>23010763716</v>
          </cell>
          <cell r="J16">
            <v>54835</v>
          </cell>
          <cell r="K16">
            <v>10916471128</v>
          </cell>
        </row>
        <row r="17">
          <cell r="B17">
            <v>306639</v>
          </cell>
          <cell r="C17">
            <v>69629006970</v>
          </cell>
          <cell r="D17">
            <v>233</v>
          </cell>
          <cell r="E17">
            <v>47869966</v>
          </cell>
          <cell r="F17">
            <v>137730</v>
          </cell>
          <cell r="G17">
            <v>31499992326</v>
          </cell>
          <cell r="H17">
            <v>109999</v>
          </cell>
          <cell r="I17">
            <v>25823242405</v>
          </cell>
          <cell r="J17">
            <v>58677</v>
          </cell>
          <cell r="K17">
            <v>12257902273</v>
          </cell>
        </row>
        <row r="18">
          <cell r="B18">
            <v>324373</v>
          </cell>
          <cell r="C18">
            <v>77237618984</v>
          </cell>
          <cell r="D18">
            <v>230</v>
          </cell>
          <cell r="E18">
            <v>47237166</v>
          </cell>
          <cell r="F18">
            <v>145279</v>
          </cell>
          <cell r="G18">
            <v>34614710756</v>
          </cell>
          <cell r="H18">
            <v>116373</v>
          </cell>
          <cell r="I18">
            <v>28913313764</v>
          </cell>
          <cell r="J18">
            <v>62491</v>
          </cell>
          <cell r="K18">
            <v>13662357298</v>
          </cell>
        </row>
        <row r="19">
          <cell r="B19">
            <v>342034</v>
          </cell>
          <cell r="C19">
            <v>84740568396</v>
          </cell>
          <cell r="D19">
            <v>223</v>
          </cell>
          <cell r="E19">
            <v>46559540</v>
          </cell>
          <cell r="F19">
            <v>153095</v>
          </cell>
          <cell r="G19">
            <v>38711655569</v>
          </cell>
          <cell r="H19">
            <v>123828</v>
          </cell>
          <cell r="I19">
            <v>33304904226</v>
          </cell>
          <cell r="J19">
            <v>64888</v>
          </cell>
          <cell r="K19">
            <v>12677449061</v>
          </cell>
        </row>
      </sheetData>
      <sheetData sheetId="48" refreshError="1"/>
      <sheetData sheetId="49" refreshError="1"/>
      <sheetData sheetId="50" refreshError="1"/>
      <sheetData sheetId="51" refreshError="1">
        <row r="12">
          <cell r="B12">
            <v>5311228164</v>
          </cell>
          <cell r="C12">
            <v>13488675</v>
          </cell>
          <cell r="D12">
            <v>3.0475832519704196</v>
          </cell>
          <cell r="E12">
            <v>4845048</v>
          </cell>
          <cell r="F12">
            <v>1.0680000000000001</v>
          </cell>
          <cell r="G12">
            <v>8643627</v>
          </cell>
          <cell r="H12">
            <v>1.9795832519704195</v>
          </cell>
          <cell r="I12">
            <v>14474563</v>
          </cell>
          <cell r="J12">
            <v>3.2703312800101352</v>
          </cell>
          <cell r="K12">
            <v>15946553</v>
          </cell>
          <cell r="L12">
            <v>3.6029074649258468</v>
          </cell>
        </row>
        <row r="13">
          <cell r="B13">
            <v>5708849263</v>
          </cell>
          <cell r="C13">
            <v>6872769</v>
          </cell>
          <cell r="D13">
            <v>1.4446559052543686</v>
          </cell>
          <cell r="E13">
            <v>6292886</v>
          </cell>
          <cell r="F13">
            <v>1.323</v>
          </cell>
          <cell r="G13">
            <v>579883</v>
          </cell>
          <cell r="H13">
            <v>0.12165590525436865</v>
          </cell>
          <cell r="I13">
            <v>-23027870</v>
          </cell>
          <cell r="J13">
            <v>-4.8404578097896085</v>
          </cell>
          <cell r="K13">
            <v>-28450568</v>
          </cell>
          <cell r="L13">
            <v>-5.9803088200754262</v>
          </cell>
        </row>
        <row r="14">
          <cell r="B14">
            <v>5797047710</v>
          </cell>
          <cell r="C14">
            <v>10663323</v>
          </cell>
          <cell r="D14">
            <v>2.207328322988737</v>
          </cell>
          <cell r="E14">
            <v>6892191</v>
          </cell>
          <cell r="F14">
            <v>1.4</v>
          </cell>
          <cell r="G14">
            <v>3771132</v>
          </cell>
          <cell r="H14">
            <v>0.80732832298873713</v>
          </cell>
          <cell r="I14">
            <v>26655059</v>
          </cell>
          <cell r="J14">
            <v>5.5176483617382548</v>
          </cell>
          <cell r="K14">
            <v>29811133</v>
          </cell>
          <cell r="L14">
            <v>6.1709617359695672</v>
          </cell>
        </row>
        <row r="15">
          <cell r="B15">
            <v>6184245754</v>
          </cell>
          <cell r="C15">
            <v>20592377</v>
          </cell>
          <cell r="D15">
            <v>3.9957746478650047</v>
          </cell>
          <cell r="E15">
            <v>7040871</v>
          </cell>
          <cell r="F15">
            <v>1.4</v>
          </cell>
          <cell r="G15">
            <v>13551506</v>
          </cell>
          <cell r="H15">
            <v>2.5957746478650048</v>
          </cell>
          <cell r="I15">
            <v>40578660</v>
          </cell>
          <cell r="J15">
            <v>7.8739419384335152</v>
          </cell>
          <cell r="K15">
            <v>42768224</v>
          </cell>
          <cell r="L15">
            <v>8.2988081071656588</v>
          </cell>
        </row>
        <row r="16">
          <cell r="B16">
            <v>6578073413</v>
          </cell>
          <cell r="C16">
            <v>25211174</v>
          </cell>
          <cell r="D16">
            <v>4.5991290915378542</v>
          </cell>
          <cell r="E16">
            <v>7106844</v>
          </cell>
          <cell r="F16">
            <v>1.4</v>
          </cell>
          <cell r="G16">
            <v>18104330</v>
          </cell>
          <cell r="H16">
            <v>3.1991290915378543</v>
          </cell>
          <cell r="I16">
            <v>33545695</v>
          </cell>
          <cell r="J16">
            <v>6.1195476962062898</v>
          </cell>
          <cell r="K16">
            <v>35646341</v>
          </cell>
          <cell r="L16">
            <v>6.5027564325238707</v>
          </cell>
        </row>
        <row r="17">
          <cell r="B17">
            <v>6739257388</v>
          </cell>
          <cell r="C17">
            <v>13129077</v>
          </cell>
          <cell r="D17">
            <v>2.3377787036377842</v>
          </cell>
          <cell r="E17">
            <v>6996714</v>
          </cell>
          <cell r="F17">
            <v>1.38</v>
          </cell>
          <cell r="G17">
            <v>6132363</v>
          </cell>
          <cell r="H17">
            <v>0.95777870363778428</v>
          </cell>
          <cell r="I17">
            <v>-8922362</v>
          </cell>
          <cell r="J17">
            <v>-1.5887261434864786</v>
          </cell>
          <cell r="K17">
            <v>-10876820</v>
          </cell>
          <cell r="L17">
            <v>-1.9367392056045922</v>
          </cell>
        </row>
        <row r="18">
          <cell r="B18">
            <v>6625543955</v>
          </cell>
          <cell r="C18">
            <v>11074720</v>
          </cell>
          <cell r="D18">
            <v>2.0058223279872571</v>
          </cell>
          <cell r="E18">
            <v>5552134</v>
          </cell>
          <cell r="F18">
            <v>1.1200000000000001</v>
          </cell>
          <cell r="G18">
            <v>5522586</v>
          </cell>
          <cell r="H18">
            <v>0.88582232798725702</v>
          </cell>
          <cell r="I18">
            <v>22378422</v>
          </cell>
          <cell r="J18">
            <v>4.0531172357153276</v>
          </cell>
          <cell r="K18">
            <v>23693114</v>
          </cell>
          <cell r="L18">
            <v>4.2912305756486377</v>
          </cell>
        </row>
        <row r="19">
          <cell r="B19">
            <v>6665439821</v>
          </cell>
          <cell r="C19">
            <v>21201527</v>
          </cell>
          <cell r="D19">
            <v>3.8169772863065208</v>
          </cell>
          <cell r="E19">
            <v>4975869</v>
          </cell>
          <cell r="F19">
            <v>1.04</v>
          </cell>
          <cell r="G19">
            <v>16225658</v>
          </cell>
          <cell r="H19">
            <v>2.7769772863065207</v>
          </cell>
          <cell r="I19">
            <v>37175225</v>
          </cell>
          <cell r="J19">
            <v>6.6927721497764905</v>
          </cell>
          <cell r="K19">
            <v>39708401</v>
          </cell>
          <cell r="L19">
            <v>7.1488277562531763</v>
          </cell>
        </row>
        <row r="20">
          <cell r="B20">
            <v>6877456922.3629999</v>
          </cell>
          <cell r="C20">
            <v>18132576</v>
          </cell>
          <cell r="D20">
            <v>3.16</v>
          </cell>
          <cell r="E20">
            <v>4902514</v>
          </cell>
          <cell r="F20">
            <v>1.04</v>
          </cell>
          <cell r="G20">
            <v>13230062</v>
          </cell>
          <cell r="H20">
            <v>2.12</v>
          </cell>
          <cell r="I20">
            <v>-5681049</v>
          </cell>
          <cell r="J20">
            <v>-0.99124703752527221</v>
          </cell>
          <cell r="K20">
            <v>-6531627.8080000002</v>
          </cell>
          <cell r="L20">
            <v>-1.1396586642533251</v>
          </cell>
        </row>
      </sheetData>
      <sheetData sheetId="52" refreshError="1">
        <row r="12">
          <cell r="B12">
            <v>492774703</v>
          </cell>
          <cell r="C12">
            <v>496550194</v>
          </cell>
          <cell r="D12">
            <v>420079982</v>
          </cell>
          <cell r="E12">
            <v>93382426</v>
          </cell>
          <cell r="F12">
            <v>312432593</v>
          </cell>
          <cell r="G12">
            <v>0</v>
          </cell>
          <cell r="H12">
            <v>4036192</v>
          </cell>
          <cell r="I12">
            <v>0</v>
          </cell>
          <cell r="J12">
            <v>7010763</v>
          </cell>
          <cell r="K12">
            <v>3218008</v>
          </cell>
          <cell r="L12">
            <v>76376052</v>
          </cell>
          <cell r="M12">
            <v>94160</v>
          </cell>
          <cell r="N12">
            <v>3775491</v>
          </cell>
          <cell r="O12">
            <v>3775491</v>
          </cell>
          <cell r="P12">
            <v>0</v>
          </cell>
        </row>
        <row r="13">
          <cell r="B13">
            <v>479429841</v>
          </cell>
          <cell r="C13">
            <v>482144650</v>
          </cell>
          <cell r="D13">
            <v>397716674</v>
          </cell>
          <cell r="E13">
            <v>80025276</v>
          </cell>
          <cell r="F13">
            <v>306018098</v>
          </cell>
          <cell r="G13">
            <v>0</v>
          </cell>
          <cell r="H13">
            <v>2004460</v>
          </cell>
          <cell r="I13">
            <v>0</v>
          </cell>
          <cell r="J13">
            <v>5861727</v>
          </cell>
          <cell r="K13">
            <v>3807113</v>
          </cell>
          <cell r="L13">
            <v>84335563</v>
          </cell>
          <cell r="M13">
            <v>92413</v>
          </cell>
          <cell r="N13">
            <v>2714809</v>
          </cell>
          <cell r="O13">
            <v>2713160</v>
          </cell>
          <cell r="P13">
            <v>1649</v>
          </cell>
        </row>
        <row r="14">
          <cell r="B14">
            <v>518141371</v>
          </cell>
          <cell r="C14">
            <v>519273738</v>
          </cell>
          <cell r="D14">
            <v>424194148</v>
          </cell>
          <cell r="E14">
            <v>93459921</v>
          </cell>
          <cell r="F14">
            <v>314226393</v>
          </cell>
          <cell r="G14">
            <v>0</v>
          </cell>
          <cell r="H14">
            <v>5952854</v>
          </cell>
          <cell r="I14">
            <v>0</v>
          </cell>
          <cell r="J14">
            <v>6187629</v>
          </cell>
          <cell r="K14">
            <v>4367351</v>
          </cell>
          <cell r="L14">
            <v>95079590</v>
          </cell>
          <cell r="M14">
            <v>0</v>
          </cell>
          <cell r="N14">
            <v>1132367</v>
          </cell>
          <cell r="O14">
            <v>1132367</v>
          </cell>
          <cell r="P14">
            <v>0</v>
          </cell>
        </row>
        <row r="15">
          <cell r="B15">
            <v>562449073</v>
          </cell>
          <cell r="C15">
            <v>563137547</v>
          </cell>
          <cell r="D15">
            <v>464442265</v>
          </cell>
          <cell r="E15">
            <v>108356027</v>
          </cell>
          <cell r="F15">
            <v>342282951</v>
          </cell>
          <cell r="G15">
            <v>0</v>
          </cell>
          <cell r="H15">
            <v>2950007</v>
          </cell>
          <cell r="I15">
            <v>0</v>
          </cell>
          <cell r="J15">
            <v>5809882</v>
          </cell>
          <cell r="K15">
            <v>5043398</v>
          </cell>
          <cell r="L15">
            <v>98695282</v>
          </cell>
          <cell r="M15">
            <v>0</v>
          </cell>
          <cell r="N15">
            <v>688474</v>
          </cell>
          <cell r="O15">
            <v>688290</v>
          </cell>
          <cell r="P15">
            <v>184</v>
          </cell>
        </row>
        <row r="16">
          <cell r="B16">
            <v>594769523</v>
          </cell>
          <cell r="C16">
            <v>595526075</v>
          </cell>
          <cell r="D16">
            <v>489083723</v>
          </cell>
          <cell r="E16">
            <v>127218873</v>
          </cell>
          <cell r="F16">
            <v>345180900</v>
          </cell>
          <cell r="G16">
            <v>0</v>
          </cell>
          <cell r="H16">
            <v>6155303</v>
          </cell>
          <cell r="I16">
            <v>0</v>
          </cell>
          <cell r="J16">
            <v>4913157</v>
          </cell>
          <cell r="K16">
            <v>5615490</v>
          </cell>
          <cell r="L16">
            <v>106442352</v>
          </cell>
          <cell r="M16">
            <v>0</v>
          </cell>
          <cell r="N16">
            <v>756552</v>
          </cell>
          <cell r="O16">
            <v>756552</v>
          </cell>
          <cell r="P16">
            <v>0</v>
          </cell>
        </row>
        <row r="17">
          <cell r="B17">
            <v>573790059</v>
          </cell>
          <cell r="C17">
            <v>574852300</v>
          </cell>
          <cell r="D17">
            <v>464905100</v>
          </cell>
          <cell r="E17">
            <v>97326263</v>
          </cell>
          <cell r="F17">
            <v>287746084</v>
          </cell>
          <cell r="G17">
            <v>26595736</v>
          </cell>
          <cell r="H17">
            <v>42651189</v>
          </cell>
          <cell r="I17">
            <v>0</v>
          </cell>
          <cell r="J17">
            <v>4375457</v>
          </cell>
          <cell r="K17">
            <v>6210371</v>
          </cell>
          <cell r="L17">
            <v>109947199</v>
          </cell>
          <cell r="M17">
            <v>1</v>
          </cell>
          <cell r="N17">
            <v>1062241</v>
          </cell>
          <cell r="O17">
            <v>1062241</v>
          </cell>
          <cell r="P17">
            <v>0</v>
          </cell>
        </row>
        <row r="18">
          <cell r="B18">
            <v>578520853</v>
          </cell>
          <cell r="C18">
            <v>579327164</v>
          </cell>
          <cell r="D18">
            <v>437953441</v>
          </cell>
          <cell r="E18">
            <v>94575938</v>
          </cell>
          <cell r="F18">
            <v>229452449</v>
          </cell>
          <cell r="G18">
            <v>31417667</v>
          </cell>
          <cell r="H18">
            <v>72114461</v>
          </cell>
          <cell r="I18">
            <v>0</v>
          </cell>
          <cell r="J18">
            <v>3450967</v>
          </cell>
          <cell r="K18">
            <v>6941959</v>
          </cell>
          <cell r="L18">
            <v>141373723</v>
          </cell>
          <cell r="M18">
            <v>0</v>
          </cell>
          <cell r="N18">
            <v>806311</v>
          </cell>
          <cell r="O18">
            <v>806311</v>
          </cell>
          <cell r="P18">
            <v>0</v>
          </cell>
        </row>
        <row r="19">
          <cell r="B19">
            <v>591333260</v>
          </cell>
          <cell r="C19">
            <v>594218317</v>
          </cell>
          <cell r="D19">
            <v>470494260</v>
          </cell>
          <cell r="E19">
            <v>73292032</v>
          </cell>
          <cell r="F19">
            <v>262485377</v>
          </cell>
          <cell r="G19">
            <v>19593624</v>
          </cell>
          <cell r="H19">
            <v>73105297</v>
          </cell>
          <cell r="I19">
            <v>32640000</v>
          </cell>
          <cell r="J19">
            <v>2419517</v>
          </cell>
          <cell r="K19">
            <v>6958413</v>
          </cell>
          <cell r="L19">
            <v>123724057</v>
          </cell>
          <cell r="M19">
            <v>0</v>
          </cell>
          <cell r="N19">
            <v>2885057</v>
          </cell>
          <cell r="O19">
            <v>2885057</v>
          </cell>
          <cell r="P19">
            <v>0</v>
          </cell>
        </row>
        <row r="20">
          <cell r="B20">
            <v>560173910</v>
          </cell>
          <cell r="C20">
            <v>567415737</v>
          </cell>
          <cell r="D20">
            <v>428123956</v>
          </cell>
          <cell r="E20">
            <v>58306628</v>
          </cell>
          <cell r="F20">
            <v>238609415</v>
          </cell>
          <cell r="G20">
            <v>23017646</v>
          </cell>
          <cell r="H20">
            <v>67015652</v>
          </cell>
          <cell r="I20">
            <v>31550000</v>
          </cell>
          <cell r="J20">
            <v>2435290</v>
          </cell>
          <cell r="K20">
            <v>7189325</v>
          </cell>
          <cell r="L20">
            <v>139291781</v>
          </cell>
          <cell r="M20">
            <v>0</v>
          </cell>
          <cell r="N20">
            <v>7241827</v>
          </cell>
          <cell r="O20">
            <v>7241827</v>
          </cell>
          <cell r="P20">
            <v>0</v>
          </cell>
        </row>
      </sheetData>
      <sheetData sheetId="53" refreshError="1">
        <row r="11">
          <cell r="B11">
            <v>496550194</v>
          </cell>
          <cell r="C11">
            <v>80402347</v>
          </cell>
          <cell r="D11">
            <v>56185461</v>
          </cell>
          <cell r="E11">
            <v>48067849</v>
          </cell>
          <cell r="F11">
            <v>98396359</v>
          </cell>
          <cell r="G11">
            <v>81084334</v>
          </cell>
          <cell r="H11">
            <v>17312025</v>
          </cell>
          <cell r="I11">
            <v>204666085</v>
          </cell>
          <cell r="J11">
            <v>5519925</v>
          </cell>
          <cell r="K11">
            <v>3218008</v>
          </cell>
          <cell r="L11">
            <v>94160</v>
          </cell>
        </row>
        <row r="12">
          <cell r="B12">
            <v>482144650</v>
          </cell>
          <cell r="C12">
            <v>68932419</v>
          </cell>
          <cell r="D12">
            <v>65132625</v>
          </cell>
          <cell r="E12">
            <v>58384598</v>
          </cell>
          <cell r="F12">
            <v>89992675</v>
          </cell>
          <cell r="G12">
            <v>73841680</v>
          </cell>
          <cell r="H12">
            <v>16150995</v>
          </cell>
          <cell r="I12">
            <v>190415518</v>
          </cell>
          <cell r="J12">
            <v>5387289</v>
          </cell>
          <cell r="K12">
            <v>3807113</v>
          </cell>
          <cell r="L12">
            <v>92413</v>
          </cell>
        </row>
        <row r="13">
          <cell r="B13">
            <v>519273738</v>
          </cell>
          <cell r="C13">
            <v>87602716</v>
          </cell>
          <cell r="D13">
            <v>71333478</v>
          </cell>
          <cell r="E13">
            <v>69636432</v>
          </cell>
          <cell r="F13">
            <v>103152534</v>
          </cell>
          <cell r="G13">
            <v>85679389</v>
          </cell>
          <cell r="H13">
            <v>17473145</v>
          </cell>
          <cell r="I13">
            <v>177773158</v>
          </cell>
          <cell r="J13">
            <v>5408070</v>
          </cell>
          <cell r="K13">
            <v>4367350</v>
          </cell>
          <cell r="L13">
            <v>0</v>
          </cell>
        </row>
        <row r="14">
          <cell r="B14">
            <v>563137547</v>
          </cell>
          <cell r="C14">
            <v>101371314</v>
          </cell>
          <cell r="D14">
            <v>83095814</v>
          </cell>
          <cell r="E14">
            <v>72137961</v>
          </cell>
          <cell r="F14">
            <v>108667047</v>
          </cell>
          <cell r="G14">
            <v>91376333</v>
          </cell>
          <cell r="H14">
            <v>17290714</v>
          </cell>
          <cell r="I14">
            <v>188002162</v>
          </cell>
          <cell r="J14">
            <v>4819851</v>
          </cell>
          <cell r="K14">
            <v>5043398</v>
          </cell>
          <cell r="L14">
            <v>0</v>
          </cell>
        </row>
        <row r="15">
          <cell r="B15">
            <v>595526075</v>
          </cell>
          <cell r="C15">
            <v>121443362</v>
          </cell>
          <cell r="D15">
            <v>84924398</v>
          </cell>
          <cell r="E15">
            <v>81262711</v>
          </cell>
          <cell r="F15">
            <v>118012154</v>
          </cell>
          <cell r="G15">
            <v>99684732</v>
          </cell>
          <cell r="H15">
            <v>18327422</v>
          </cell>
          <cell r="I15">
            <v>180127651</v>
          </cell>
          <cell r="J15">
            <v>4140309</v>
          </cell>
          <cell r="K15">
            <v>5615490</v>
          </cell>
          <cell r="L15">
            <v>0</v>
          </cell>
        </row>
        <row r="16">
          <cell r="B16">
            <v>574852300</v>
          </cell>
          <cell r="C16">
            <v>88198757</v>
          </cell>
          <cell r="D16">
            <v>62461603</v>
          </cell>
          <cell r="E16">
            <v>89586648</v>
          </cell>
          <cell r="F16">
            <v>106348414</v>
          </cell>
          <cell r="G16">
            <v>89537440</v>
          </cell>
          <cell r="H16">
            <v>16810974</v>
          </cell>
          <cell r="I16">
            <v>218836957</v>
          </cell>
          <cell r="J16">
            <v>3209549</v>
          </cell>
          <cell r="K16">
            <v>6210371</v>
          </cell>
          <cell r="L16">
            <v>1</v>
          </cell>
        </row>
        <row r="17">
          <cell r="B17">
            <v>579327164</v>
          </cell>
          <cell r="C17">
            <v>85890539</v>
          </cell>
          <cell r="D17">
            <v>89865153</v>
          </cell>
          <cell r="E17">
            <v>98219924</v>
          </cell>
          <cell r="F17">
            <v>92511267</v>
          </cell>
          <cell r="G17">
            <v>78718307</v>
          </cell>
          <cell r="H17">
            <v>13792960</v>
          </cell>
          <cell r="I17">
            <v>203444335</v>
          </cell>
          <cell r="J17">
            <v>2453986</v>
          </cell>
          <cell r="K17">
            <v>6941959</v>
          </cell>
          <cell r="L17">
            <v>0</v>
          </cell>
        </row>
        <row r="18">
          <cell r="B18">
            <v>594218317</v>
          </cell>
          <cell r="C18">
            <v>98213557</v>
          </cell>
          <cell r="D18">
            <v>80567181</v>
          </cell>
          <cell r="E18">
            <v>94750600</v>
          </cell>
          <cell r="F18">
            <v>90697100</v>
          </cell>
          <cell r="G18">
            <v>79344865</v>
          </cell>
          <cell r="H18">
            <v>11352235</v>
          </cell>
          <cell r="I18">
            <v>221823849</v>
          </cell>
          <cell r="J18">
            <v>1207616</v>
          </cell>
          <cell r="K18">
            <v>6958413</v>
          </cell>
          <cell r="L18">
            <v>0</v>
          </cell>
        </row>
        <row r="19">
          <cell r="B19">
            <v>567415737</v>
          </cell>
          <cell r="C19">
            <v>76139204</v>
          </cell>
          <cell r="D19">
            <v>68637391</v>
          </cell>
          <cell r="E19">
            <v>109282298</v>
          </cell>
          <cell r="F19">
            <v>78714259</v>
          </cell>
          <cell r="G19">
            <v>70192254</v>
          </cell>
          <cell r="H19">
            <v>8522005</v>
          </cell>
          <cell r="I19">
            <v>226090623</v>
          </cell>
          <cell r="J19">
            <v>1362637</v>
          </cell>
          <cell r="K19">
            <v>7189325</v>
          </cell>
          <cell r="L19">
            <v>0</v>
          </cell>
        </row>
      </sheetData>
      <sheetData sheetId="54" refreshError="1">
        <row r="6">
          <cell r="B6">
            <v>363871159</v>
          </cell>
          <cell r="C6">
            <v>0</v>
          </cell>
          <cell r="D6">
            <v>724166029</v>
          </cell>
          <cell r="E6">
            <v>513680216</v>
          </cell>
          <cell r="F6">
            <v>210485813</v>
          </cell>
          <cell r="G6">
            <v>360294870</v>
          </cell>
          <cell r="H6">
            <v>164006228</v>
          </cell>
          <cell r="I6">
            <v>196288642</v>
          </cell>
          <cell r="J6">
            <v>363871159</v>
          </cell>
          <cell r="K6">
            <v>0</v>
          </cell>
          <cell r="L6">
            <v>724166029</v>
          </cell>
          <cell r="M6">
            <v>513680216</v>
          </cell>
          <cell r="N6">
            <v>210485813</v>
          </cell>
          <cell r="O6">
            <v>360294870</v>
          </cell>
          <cell r="P6">
            <v>164006228</v>
          </cell>
          <cell r="Q6">
            <v>196288642</v>
          </cell>
        </row>
        <row r="7">
          <cell r="B7">
            <v>89978205</v>
          </cell>
          <cell r="C7">
            <v>0</v>
          </cell>
          <cell r="D7">
            <v>123089825</v>
          </cell>
          <cell r="E7">
            <v>55422063</v>
          </cell>
          <cell r="F7">
            <v>67667762</v>
          </cell>
          <cell r="G7">
            <v>33111620</v>
          </cell>
          <cell r="H7">
            <v>30669240</v>
          </cell>
          <cell r="I7">
            <v>2442380</v>
          </cell>
          <cell r="J7">
            <v>453849364</v>
          </cell>
          <cell r="K7">
            <v>0</v>
          </cell>
          <cell r="L7">
            <v>847255854</v>
          </cell>
          <cell r="M7">
            <v>569102279</v>
          </cell>
          <cell r="N7">
            <v>278153575</v>
          </cell>
          <cell r="O7">
            <v>393406490</v>
          </cell>
          <cell r="P7">
            <v>194675468</v>
          </cell>
          <cell r="Q7">
            <v>198731022</v>
          </cell>
        </row>
        <row r="8">
          <cell r="B8">
            <v>35836052</v>
          </cell>
          <cell r="C8">
            <v>166947</v>
          </cell>
          <cell r="D8">
            <v>83205992</v>
          </cell>
          <cell r="E8">
            <v>56805040</v>
          </cell>
          <cell r="F8">
            <v>26400952</v>
          </cell>
          <cell r="G8">
            <v>47369940</v>
          </cell>
          <cell r="H8">
            <v>35544169</v>
          </cell>
          <cell r="I8">
            <v>11825771</v>
          </cell>
          <cell r="J8">
            <v>489685416</v>
          </cell>
          <cell r="K8">
            <v>166947</v>
          </cell>
          <cell r="L8">
            <v>930461846</v>
          </cell>
          <cell r="M8">
            <v>625907319</v>
          </cell>
          <cell r="N8">
            <v>304554527</v>
          </cell>
          <cell r="O8">
            <v>440776430</v>
          </cell>
          <cell r="P8">
            <v>230219637</v>
          </cell>
          <cell r="Q8">
            <v>210556793</v>
          </cell>
        </row>
        <row r="9">
          <cell r="B9">
            <v>-7922164</v>
          </cell>
          <cell r="C9">
            <v>167000</v>
          </cell>
          <cell r="D9">
            <v>69664854</v>
          </cell>
          <cell r="E9">
            <v>57675440</v>
          </cell>
          <cell r="F9">
            <v>11989414</v>
          </cell>
          <cell r="G9">
            <v>77587018</v>
          </cell>
          <cell r="H9">
            <v>42601731</v>
          </cell>
          <cell r="I9">
            <v>34985287</v>
          </cell>
          <cell r="J9">
            <v>481763252</v>
          </cell>
          <cell r="K9">
            <v>333947</v>
          </cell>
          <cell r="L9">
            <v>1000126700</v>
          </cell>
          <cell r="M9">
            <v>683582759</v>
          </cell>
          <cell r="N9">
            <v>316543941</v>
          </cell>
          <cell r="O9">
            <v>518363448</v>
          </cell>
          <cell r="P9">
            <v>272821368</v>
          </cell>
          <cell r="Q9">
            <v>245542080</v>
          </cell>
        </row>
        <row r="10">
          <cell r="B10">
            <v>35555456</v>
          </cell>
          <cell r="C10">
            <v>167000</v>
          </cell>
          <cell r="D10">
            <v>92537569</v>
          </cell>
          <cell r="E10">
            <v>59046402</v>
          </cell>
          <cell r="F10">
            <v>33491167</v>
          </cell>
          <cell r="G10">
            <v>56982113</v>
          </cell>
          <cell r="H10">
            <v>50147619</v>
          </cell>
          <cell r="I10">
            <v>6834494</v>
          </cell>
          <cell r="J10">
            <v>517318708</v>
          </cell>
          <cell r="K10">
            <v>500947</v>
          </cell>
          <cell r="L10">
            <v>1092664269</v>
          </cell>
          <cell r="M10">
            <v>742629161</v>
          </cell>
          <cell r="N10">
            <v>350035108</v>
          </cell>
          <cell r="O10">
            <v>575345561</v>
          </cell>
          <cell r="P10">
            <v>322968987</v>
          </cell>
          <cell r="Q10">
            <v>252376574</v>
          </cell>
        </row>
        <row r="11">
          <cell r="B11">
            <v>42118138</v>
          </cell>
          <cell r="C11">
            <v>740000</v>
          </cell>
          <cell r="D11">
            <v>100392671</v>
          </cell>
          <cell r="E11">
            <v>59250545</v>
          </cell>
          <cell r="F11">
            <v>41142126</v>
          </cell>
          <cell r="G11">
            <v>58274533</v>
          </cell>
          <cell r="H11">
            <v>57728247</v>
          </cell>
          <cell r="I11">
            <v>546286</v>
          </cell>
          <cell r="J11">
            <v>559436846</v>
          </cell>
          <cell r="K11">
            <v>1240947</v>
          </cell>
          <cell r="L11">
            <v>1193056940</v>
          </cell>
          <cell r="M11">
            <v>801879706</v>
          </cell>
          <cell r="N11">
            <v>391177234</v>
          </cell>
          <cell r="O11">
            <v>633620094</v>
          </cell>
          <cell r="P11">
            <v>380697234</v>
          </cell>
          <cell r="Q11">
            <v>252922860</v>
          </cell>
        </row>
        <row r="12">
          <cell r="B12">
            <v>30219804</v>
          </cell>
          <cell r="C12">
            <v>740000</v>
          </cell>
          <cell r="D12">
            <v>95618533</v>
          </cell>
          <cell r="E12">
            <v>59658834</v>
          </cell>
          <cell r="F12">
            <v>35959699</v>
          </cell>
          <cell r="G12">
            <v>65398729</v>
          </cell>
          <cell r="H12">
            <v>63022530</v>
          </cell>
          <cell r="I12">
            <v>2376199</v>
          </cell>
          <cell r="J12">
            <v>589656650</v>
          </cell>
          <cell r="K12">
            <v>1980947</v>
          </cell>
          <cell r="L12">
            <v>1288675473</v>
          </cell>
          <cell r="M12">
            <v>861538540</v>
          </cell>
          <cell r="N12">
            <v>427136933</v>
          </cell>
          <cell r="O12">
            <v>699018823</v>
          </cell>
          <cell r="P12">
            <v>443719764</v>
          </cell>
          <cell r="Q12">
            <v>255299059</v>
          </cell>
        </row>
        <row r="13">
          <cell r="B13">
            <v>-19216400</v>
          </cell>
          <cell r="C13">
            <v>740000</v>
          </cell>
          <cell r="D13">
            <v>66817315</v>
          </cell>
          <cell r="E13">
            <v>59729631</v>
          </cell>
          <cell r="F13">
            <v>7087684</v>
          </cell>
          <cell r="G13">
            <v>86033715</v>
          </cell>
          <cell r="H13">
            <v>70034840</v>
          </cell>
          <cell r="I13">
            <v>15998875</v>
          </cell>
          <cell r="J13">
            <v>570440250</v>
          </cell>
          <cell r="K13">
            <v>2720947</v>
          </cell>
          <cell r="L13">
            <v>1355492788</v>
          </cell>
          <cell r="M13">
            <v>921268171</v>
          </cell>
          <cell r="N13">
            <v>434224617</v>
          </cell>
          <cell r="O13">
            <v>785052538</v>
          </cell>
          <cell r="P13">
            <v>513754604</v>
          </cell>
          <cell r="Q13">
            <v>271297934</v>
          </cell>
        </row>
        <row r="14">
          <cell r="B14">
            <v>3416102</v>
          </cell>
          <cell r="C14">
            <v>740000</v>
          </cell>
          <cell r="D14">
            <v>89371895</v>
          </cell>
          <cell r="E14">
            <v>59607094</v>
          </cell>
          <cell r="F14">
            <v>29764801</v>
          </cell>
          <cell r="G14">
            <v>85955793</v>
          </cell>
          <cell r="H14">
            <v>78583980</v>
          </cell>
          <cell r="I14">
            <v>7371813</v>
          </cell>
          <cell r="J14">
            <v>573856352</v>
          </cell>
          <cell r="K14">
            <v>3460947</v>
          </cell>
          <cell r="L14">
            <v>1444864683</v>
          </cell>
          <cell r="M14">
            <v>980875265</v>
          </cell>
          <cell r="N14">
            <v>463989418</v>
          </cell>
          <cell r="O14">
            <v>871008331</v>
          </cell>
          <cell r="P14">
            <v>592338584</v>
          </cell>
          <cell r="Q14">
            <v>278669747</v>
          </cell>
        </row>
        <row r="15">
          <cell r="B15">
            <v>10279232</v>
          </cell>
          <cell r="C15">
            <v>1420795</v>
          </cell>
          <cell r="D15">
            <v>115229380</v>
          </cell>
          <cell r="E15">
            <v>59713293</v>
          </cell>
          <cell r="F15">
            <v>55516087</v>
          </cell>
          <cell r="G15">
            <v>104950148</v>
          </cell>
          <cell r="H15">
            <v>86614879</v>
          </cell>
          <cell r="I15">
            <v>18335269</v>
          </cell>
          <cell r="J15">
            <v>584135584</v>
          </cell>
          <cell r="K15">
            <v>4881742</v>
          </cell>
          <cell r="L15">
            <v>1560094063</v>
          </cell>
          <cell r="M15">
            <v>1040588558</v>
          </cell>
          <cell r="N15">
            <v>519505505</v>
          </cell>
          <cell r="O15">
            <v>975958479</v>
          </cell>
          <cell r="P15">
            <v>678953463</v>
          </cell>
          <cell r="Q15">
            <v>297005016</v>
          </cell>
        </row>
        <row r="16">
          <cell r="B16">
            <v>-30308771</v>
          </cell>
          <cell r="C16">
            <v>0</v>
          </cell>
          <cell r="D16">
            <v>76908720</v>
          </cell>
          <cell r="E16">
            <v>65841229</v>
          </cell>
          <cell r="F16">
            <v>11067491</v>
          </cell>
          <cell r="G16">
            <v>107217491</v>
          </cell>
          <cell r="H16">
            <v>90463497</v>
          </cell>
          <cell r="I16">
            <v>16753994</v>
          </cell>
          <cell r="J16">
            <v>553826813</v>
          </cell>
          <cell r="K16">
            <v>4881742</v>
          </cell>
          <cell r="L16">
            <v>1637002783</v>
          </cell>
          <cell r="M16">
            <v>1106429787</v>
          </cell>
          <cell r="N16">
            <v>530572996</v>
          </cell>
          <cell r="O16">
            <v>1083175970</v>
          </cell>
          <cell r="P16">
            <v>769416960</v>
          </cell>
          <cell r="Q16">
            <v>313759010</v>
          </cell>
        </row>
      </sheetData>
      <sheetData sheetId="55" refreshError="1">
        <row r="12">
          <cell r="B12">
            <v>57146760</v>
          </cell>
          <cell r="C12">
            <v>56805040</v>
          </cell>
          <cell r="D12">
            <v>35859961</v>
          </cell>
          <cell r="E12">
            <v>35544169</v>
          </cell>
          <cell r="F12">
            <v>21286799</v>
          </cell>
          <cell r="G12">
            <v>21260871</v>
          </cell>
          <cell r="H12">
            <v>10342657</v>
          </cell>
          <cell r="I12">
            <v>26400952</v>
          </cell>
          <cell r="J12">
            <v>510872</v>
          </cell>
          <cell r="K12">
            <v>11825771</v>
          </cell>
          <cell r="L12">
            <v>9831785</v>
          </cell>
          <cell r="M12">
            <v>14575181</v>
          </cell>
          <cell r="N12">
            <v>31118584</v>
          </cell>
          <cell r="O12">
            <v>35836052</v>
          </cell>
        </row>
        <row r="13">
          <cell r="B13">
            <v>58204990</v>
          </cell>
          <cell r="C13">
            <v>57675440</v>
          </cell>
          <cell r="D13">
            <v>38850579</v>
          </cell>
          <cell r="E13">
            <v>42601731</v>
          </cell>
          <cell r="F13">
            <v>19354411</v>
          </cell>
          <cell r="G13">
            <v>15073709</v>
          </cell>
          <cell r="H13">
            <v>16320125</v>
          </cell>
          <cell r="I13">
            <v>11989414</v>
          </cell>
          <cell r="J13">
            <v>708305</v>
          </cell>
          <cell r="K13">
            <v>34985287</v>
          </cell>
          <cell r="L13">
            <v>15611820</v>
          </cell>
          <cell r="M13">
            <v>-22995873</v>
          </cell>
          <cell r="N13">
            <v>34966231</v>
          </cell>
          <cell r="O13">
            <v>-7922164</v>
          </cell>
        </row>
        <row r="14">
          <cell r="B14">
            <v>60891376</v>
          </cell>
          <cell r="C14">
            <v>59046402</v>
          </cell>
          <cell r="D14">
            <v>46695554</v>
          </cell>
          <cell r="E14">
            <v>50147619</v>
          </cell>
          <cell r="F14">
            <v>14195822</v>
          </cell>
          <cell r="G14">
            <v>8898783</v>
          </cell>
          <cell r="H14">
            <v>19304526</v>
          </cell>
          <cell r="I14">
            <v>33491167</v>
          </cell>
          <cell r="J14">
            <v>807576</v>
          </cell>
          <cell r="K14">
            <v>6834494</v>
          </cell>
          <cell r="L14">
            <v>18496950</v>
          </cell>
          <cell r="M14">
            <v>26656673</v>
          </cell>
          <cell r="N14">
            <v>32692772</v>
          </cell>
          <cell r="O14">
            <v>35555456</v>
          </cell>
        </row>
        <row r="15">
          <cell r="B15">
            <v>61169468</v>
          </cell>
          <cell r="C15">
            <v>59250545</v>
          </cell>
          <cell r="D15">
            <v>54001291</v>
          </cell>
          <cell r="E15">
            <v>57728247</v>
          </cell>
          <cell r="F15">
            <v>7168177</v>
          </cell>
          <cell r="G15">
            <v>1522298</v>
          </cell>
          <cell r="H15">
            <v>19011464</v>
          </cell>
          <cell r="I15">
            <v>41142126</v>
          </cell>
          <cell r="J15">
            <v>760207</v>
          </cell>
          <cell r="K15">
            <v>546286</v>
          </cell>
          <cell r="L15">
            <v>18251257</v>
          </cell>
          <cell r="M15">
            <v>40595840</v>
          </cell>
          <cell r="N15">
            <v>25419434</v>
          </cell>
          <cell r="O15">
            <v>42118138</v>
          </cell>
        </row>
        <row r="16">
          <cell r="B16">
            <v>62104083</v>
          </cell>
          <cell r="C16">
            <v>59658834</v>
          </cell>
          <cell r="D16">
            <v>60928067</v>
          </cell>
          <cell r="E16">
            <v>63022530</v>
          </cell>
          <cell r="F16">
            <v>1176016</v>
          </cell>
          <cell r="G16">
            <v>-3363696</v>
          </cell>
          <cell r="H16">
            <v>21390723</v>
          </cell>
          <cell r="I16">
            <v>35959699</v>
          </cell>
          <cell r="J16">
            <v>760225</v>
          </cell>
          <cell r="K16">
            <v>2376199</v>
          </cell>
          <cell r="L16">
            <v>20630498</v>
          </cell>
          <cell r="M16">
            <v>33583500</v>
          </cell>
          <cell r="N16">
            <v>21806514</v>
          </cell>
          <cell r="O16">
            <v>30219804</v>
          </cell>
        </row>
        <row r="17">
          <cell r="B17">
            <v>60477111</v>
          </cell>
          <cell r="C17">
            <v>59729631</v>
          </cell>
          <cell r="D17">
            <v>72396168</v>
          </cell>
          <cell r="E17">
            <v>70034840</v>
          </cell>
          <cell r="F17">
            <v>-11919057</v>
          </cell>
          <cell r="G17">
            <v>-10305209</v>
          </cell>
          <cell r="H17">
            <v>23678985</v>
          </cell>
          <cell r="I17">
            <v>7087684</v>
          </cell>
          <cell r="J17">
            <v>670902</v>
          </cell>
          <cell r="K17">
            <v>15998875</v>
          </cell>
          <cell r="L17">
            <v>23008083</v>
          </cell>
          <cell r="M17">
            <v>-8911191</v>
          </cell>
          <cell r="N17">
            <v>11089026</v>
          </cell>
          <cell r="O17">
            <v>-19216400</v>
          </cell>
        </row>
        <row r="18">
          <cell r="B18">
            <v>59491647</v>
          </cell>
          <cell r="C18">
            <v>59607094</v>
          </cell>
          <cell r="D18">
            <v>78626664</v>
          </cell>
          <cell r="E18">
            <v>78583980</v>
          </cell>
          <cell r="F18">
            <v>-19135017</v>
          </cell>
          <cell r="G18">
            <v>-18976886</v>
          </cell>
          <cell r="H18">
            <v>24702313</v>
          </cell>
          <cell r="I18">
            <v>29764801</v>
          </cell>
          <cell r="J18">
            <v>1394492</v>
          </cell>
          <cell r="K18">
            <v>7371813</v>
          </cell>
          <cell r="L18">
            <v>23307821</v>
          </cell>
          <cell r="M18">
            <v>22392988</v>
          </cell>
          <cell r="N18">
            <v>4172804</v>
          </cell>
          <cell r="O18">
            <v>3416102</v>
          </cell>
        </row>
        <row r="19">
          <cell r="B19">
            <v>59893235</v>
          </cell>
          <cell r="C19">
            <v>59713293</v>
          </cell>
          <cell r="D19">
            <v>87455264</v>
          </cell>
          <cell r="E19">
            <v>86614878</v>
          </cell>
          <cell r="F19">
            <v>-27562029</v>
          </cell>
          <cell r="G19">
            <v>-26901585</v>
          </cell>
          <cell r="H19">
            <v>22087799</v>
          </cell>
          <cell r="I19">
            <v>55516086</v>
          </cell>
          <cell r="J19">
            <v>1280291</v>
          </cell>
          <cell r="K19">
            <v>18335269</v>
          </cell>
          <cell r="L19">
            <v>20807508</v>
          </cell>
          <cell r="M19">
            <v>37180817</v>
          </cell>
          <cell r="N19">
            <v>-6754521</v>
          </cell>
          <cell r="O19">
            <v>10279232</v>
          </cell>
        </row>
        <row r="20">
          <cell r="B20">
            <v>61860613</v>
          </cell>
          <cell r="C20">
            <v>65841229</v>
          </cell>
          <cell r="D20">
            <v>100126364</v>
          </cell>
          <cell r="E20">
            <v>90463497</v>
          </cell>
          <cell r="F20">
            <v>-38265751</v>
          </cell>
          <cell r="G20">
            <v>-24622268</v>
          </cell>
          <cell r="H20">
            <v>22202859</v>
          </cell>
          <cell r="I20">
            <v>11067491</v>
          </cell>
          <cell r="J20">
            <v>1394349</v>
          </cell>
          <cell r="K20">
            <v>16753994</v>
          </cell>
          <cell r="L20">
            <v>20808510</v>
          </cell>
          <cell r="M20">
            <v>-5686503</v>
          </cell>
          <cell r="N20">
            <v>-17457241</v>
          </cell>
          <cell r="O20">
            <v>-30308771</v>
          </cell>
        </row>
      </sheetData>
      <sheetData sheetId="56" refreshError="1">
        <row r="12">
          <cell r="B12">
            <v>26176</v>
          </cell>
          <cell r="C12">
            <v>37351</v>
          </cell>
          <cell r="D12" t="str">
            <v>-</v>
          </cell>
          <cell r="E12">
            <v>758</v>
          </cell>
          <cell r="F12">
            <v>-451</v>
          </cell>
          <cell r="G12">
            <v>63834</v>
          </cell>
          <cell r="H12">
            <v>224346592</v>
          </cell>
          <cell r="I12">
            <v>52948287</v>
          </cell>
          <cell r="J12" t="str">
            <v>-</v>
          </cell>
          <cell r="K12">
            <v>2668808</v>
          </cell>
          <cell r="L12">
            <v>-1000705</v>
          </cell>
          <cell r="M12">
            <v>278962982</v>
          </cell>
          <cell r="N12" t="str">
            <v>99年</v>
          </cell>
          <cell r="O12">
            <v>139512694</v>
          </cell>
          <cell r="P12">
            <v>33295302</v>
          </cell>
          <cell r="Q12" t="str">
            <v>-</v>
          </cell>
          <cell r="R12">
            <v>1665653</v>
          </cell>
          <cell r="S12">
            <v>-660246</v>
          </cell>
          <cell r="T12">
            <v>173813403</v>
          </cell>
          <cell r="U12">
            <v>31802219</v>
          </cell>
          <cell r="V12">
            <v>7883740</v>
          </cell>
          <cell r="W12" t="str">
            <v>-</v>
          </cell>
          <cell r="X12">
            <v>379577</v>
          </cell>
          <cell r="Y12">
            <v>-131052</v>
          </cell>
          <cell r="Z12">
            <v>39934484</v>
          </cell>
        </row>
        <row r="13">
          <cell r="B13">
            <v>19587</v>
          </cell>
          <cell r="C13">
            <v>34937</v>
          </cell>
          <cell r="D13" t="str">
            <v>-</v>
          </cell>
          <cell r="E13">
            <v>732</v>
          </cell>
          <cell r="F13">
            <v>-1027</v>
          </cell>
          <cell r="G13">
            <v>54229</v>
          </cell>
          <cell r="H13">
            <v>234893830</v>
          </cell>
          <cell r="I13">
            <v>39923290</v>
          </cell>
          <cell r="J13" t="str">
            <v>-</v>
          </cell>
          <cell r="K13">
            <v>2574523</v>
          </cell>
          <cell r="L13">
            <v>-4094386</v>
          </cell>
          <cell r="M13">
            <v>273297257</v>
          </cell>
          <cell r="N13" t="str">
            <v>100年</v>
          </cell>
          <cell r="O13">
            <v>144715526</v>
          </cell>
          <cell r="P13">
            <v>25269307</v>
          </cell>
          <cell r="Q13" t="str">
            <v>-</v>
          </cell>
          <cell r="R13">
            <v>1606451</v>
          </cell>
          <cell r="S13">
            <v>-2566830</v>
          </cell>
          <cell r="T13">
            <v>169024454</v>
          </cell>
          <cell r="U13">
            <v>31132448</v>
          </cell>
          <cell r="V13">
            <v>6108272</v>
          </cell>
          <cell r="W13" t="str">
            <v>-</v>
          </cell>
          <cell r="X13">
            <v>366089</v>
          </cell>
          <cell r="Y13">
            <v>-552908</v>
          </cell>
          <cell r="Z13">
            <v>37053901</v>
          </cell>
        </row>
        <row r="14">
          <cell r="B14">
            <v>20236</v>
          </cell>
          <cell r="C14">
            <v>38504</v>
          </cell>
          <cell r="D14" t="str">
            <v>-</v>
          </cell>
          <cell r="E14">
            <v>707</v>
          </cell>
          <cell r="F14">
            <v>-607</v>
          </cell>
          <cell r="G14">
            <v>58840</v>
          </cell>
          <cell r="H14">
            <v>242296532</v>
          </cell>
          <cell r="I14">
            <v>55360491</v>
          </cell>
          <cell r="J14" t="str">
            <v>-</v>
          </cell>
          <cell r="K14">
            <v>2480239</v>
          </cell>
          <cell r="L14">
            <v>-2277829</v>
          </cell>
          <cell r="M14">
            <v>297859433</v>
          </cell>
          <cell r="N14" t="str">
            <v>101年</v>
          </cell>
          <cell r="O14">
            <v>147971774</v>
          </cell>
          <cell r="P14">
            <v>34709270</v>
          </cell>
          <cell r="Q14" t="str">
            <v>-</v>
          </cell>
          <cell r="R14">
            <v>1547249</v>
          </cell>
          <cell r="S14">
            <v>-1456175</v>
          </cell>
          <cell r="T14">
            <v>182772118</v>
          </cell>
          <cell r="U14">
            <v>29371631</v>
          </cell>
          <cell r="V14">
            <v>8051214</v>
          </cell>
          <cell r="W14" t="str">
            <v>-</v>
          </cell>
          <cell r="X14">
            <v>352601</v>
          </cell>
          <cell r="Y14">
            <v>-324466</v>
          </cell>
          <cell r="Z14">
            <v>37450980</v>
          </cell>
        </row>
        <row r="15">
          <cell r="B15">
            <v>16272</v>
          </cell>
          <cell r="C15">
            <v>43973</v>
          </cell>
          <cell r="D15" t="str">
            <v>-</v>
          </cell>
          <cell r="E15">
            <v>594</v>
          </cell>
          <cell r="F15">
            <v>-318</v>
          </cell>
          <cell r="G15">
            <v>60521</v>
          </cell>
          <cell r="H15">
            <v>246507595</v>
          </cell>
          <cell r="I15">
            <v>79387157</v>
          </cell>
          <cell r="J15" t="str">
            <v>-</v>
          </cell>
          <cell r="K15">
            <v>2062451</v>
          </cell>
          <cell r="L15">
            <v>-1004468</v>
          </cell>
          <cell r="M15">
            <v>326952735</v>
          </cell>
          <cell r="N15" t="str">
            <v>102年</v>
          </cell>
          <cell r="O15">
            <v>149253703</v>
          </cell>
          <cell r="P15">
            <v>49301021</v>
          </cell>
          <cell r="Q15" t="str">
            <v>-</v>
          </cell>
          <cell r="R15">
            <v>1284918</v>
          </cell>
          <cell r="S15">
            <v>-683308</v>
          </cell>
          <cell r="T15">
            <v>199156334</v>
          </cell>
          <cell r="U15">
            <v>25404902</v>
          </cell>
          <cell r="V15">
            <v>10763168</v>
          </cell>
          <cell r="W15" t="str">
            <v>-</v>
          </cell>
          <cell r="X15">
            <v>292832</v>
          </cell>
          <cell r="Y15">
            <v>-181419</v>
          </cell>
          <cell r="Z15">
            <v>36279483</v>
          </cell>
        </row>
        <row r="16">
          <cell r="B16">
            <v>12662</v>
          </cell>
          <cell r="C16">
            <v>48414</v>
          </cell>
          <cell r="D16" t="str">
            <v>-</v>
          </cell>
          <cell r="E16">
            <v>481</v>
          </cell>
          <cell r="F16">
            <v>-48</v>
          </cell>
          <cell r="G16">
            <v>61509</v>
          </cell>
          <cell r="H16">
            <v>247489879</v>
          </cell>
          <cell r="I16">
            <v>99543073</v>
          </cell>
          <cell r="J16" t="str">
            <v>-</v>
          </cell>
          <cell r="K16">
            <v>1644530</v>
          </cell>
          <cell r="L16">
            <v>230142</v>
          </cell>
          <cell r="M16">
            <v>348907624</v>
          </cell>
          <cell r="N16" t="str">
            <v>103年</v>
          </cell>
          <cell r="O16">
            <v>148784675</v>
          </cell>
          <cell r="P16">
            <v>61467004</v>
          </cell>
          <cell r="Q16" t="str">
            <v>-</v>
          </cell>
          <cell r="R16">
            <v>1022697</v>
          </cell>
          <cell r="S16">
            <v>61271</v>
          </cell>
          <cell r="T16">
            <v>211335647</v>
          </cell>
          <cell r="U16">
            <v>21531559</v>
          </cell>
          <cell r="V16">
            <v>12760330</v>
          </cell>
          <cell r="W16" t="str">
            <v>-</v>
          </cell>
          <cell r="X16">
            <v>233088</v>
          </cell>
          <cell r="Y16">
            <v>-60234</v>
          </cell>
          <cell r="Z16">
            <v>34464743</v>
          </cell>
        </row>
        <row r="17">
          <cell r="B17">
            <v>9134</v>
          </cell>
          <cell r="C17">
            <v>47806</v>
          </cell>
          <cell r="D17">
            <v>24</v>
          </cell>
          <cell r="E17" t="str">
            <v>-</v>
          </cell>
          <cell r="F17">
            <v>-287</v>
          </cell>
          <cell r="G17">
            <v>56677</v>
          </cell>
          <cell r="H17">
            <v>244762339</v>
          </cell>
          <cell r="I17">
            <v>95901780</v>
          </cell>
          <cell r="J17">
            <v>115560</v>
          </cell>
          <cell r="K17" t="str">
            <v>-</v>
          </cell>
          <cell r="L17">
            <v>-929837</v>
          </cell>
          <cell r="M17">
            <v>339849842</v>
          </cell>
          <cell r="N17" t="str">
            <v>104年</v>
          </cell>
          <cell r="O17">
            <v>145870414</v>
          </cell>
          <cell r="P17">
            <v>59318943</v>
          </cell>
          <cell r="Q17">
            <v>68743</v>
          </cell>
          <cell r="R17" t="str">
            <v>-</v>
          </cell>
          <cell r="S17">
            <v>-634555</v>
          </cell>
          <cell r="T17">
            <v>204623545</v>
          </cell>
          <cell r="U17">
            <v>16871680</v>
          </cell>
          <cell r="V17">
            <v>12539894</v>
          </cell>
          <cell r="W17">
            <v>8181</v>
          </cell>
          <cell r="X17" t="str">
            <v>-</v>
          </cell>
          <cell r="Y17">
            <v>-159760</v>
          </cell>
          <cell r="Z17">
            <v>29259995</v>
          </cell>
        </row>
        <row r="18">
          <cell r="B18">
            <v>5791</v>
          </cell>
          <cell r="C18">
            <v>50564</v>
          </cell>
          <cell r="D18" t="str">
            <v>-</v>
          </cell>
          <cell r="E18" t="str">
            <v>-</v>
          </cell>
          <cell r="F18">
            <v>-126</v>
          </cell>
          <cell r="G18">
            <v>56229</v>
          </cell>
          <cell r="H18">
            <v>237849039</v>
          </cell>
          <cell r="I18">
            <v>109459580</v>
          </cell>
          <cell r="J18" t="str">
            <v>-</v>
          </cell>
          <cell r="K18" t="str">
            <v>-</v>
          </cell>
          <cell r="L18">
            <v>-140644</v>
          </cell>
          <cell r="M18">
            <v>347167975</v>
          </cell>
          <cell r="N18" t="str">
            <v>105年</v>
          </cell>
          <cell r="O18">
            <v>139896032</v>
          </cell>
          <cell r="P18">
            <v>67384064</v>
          </cell>
          <cell r="Q18" t="str">
            <v>-</v>
          </cell>
          <cell r="R18" t="str">
            <v>-</v>
          </cell>
          <cell r="S18">
            <v>-165087</v>
          </cell>
          <cell r="T18">
            <v>207115009</v>
          </cell>
          <cell r="U18">
            <v>10785818</v>
          </cell>
          <cell r="V18">
            <v>13499711</v>
          </cell>
          <cell r="W18" t="str">
            <v>-</v>
          </cell>
          <cell r="X18" t="str">
            <v>-</v>
          </cell>
          <cell r="Y18">
            <v>-103889</v>
          </cell>
          <cell r="Z18">
            <v>24181640</v>
          </cell>
        </row>
        <row r="19">
          <cell r="B19">
            <v>11051</v>
          </cell>
          <cell r="C19">
            <v>55483</v>
          </cell>
          <cell r="D19" t="str">
            <v>-</v>
          </cell>
          <cell r="E19" t="str">
            <v>-</v>
          </cell>
          <cell r="F19">
            <v>209</v>
          </cell>
          <cell r="G19">
            <v>66743</v>
          </cell>
          <cell r="H19">
            <v>227735817</v>
          </cell>
          <cell r="I19">
            <v>132162052</v>
          </cell>
          <cell r="J19" t="str">
            <v>-</v>
          </cell>
          <cell r="K19" t="str">
            <v>-</v>
          </cell>
          <cell r="L19">
            <v>1406104</v>
          </cell>
          <cell r="M19">
            <v>361303973</v>
          </cell>
          <cell r="N19" t="str">
            <v>106年</v>
          </cell>
          <cell r="O19">
            <v>130734454</v>
          </cell>
          <cell r="P19">
            <v>80697573</v>
          </cell>
          <cell r="Q19" t="str">
            <v>-</v>
          </cell>
          <cell r="R19" t="str">
            <v>-</v>
          </cell>
          <cell r="S19">
            <v>741978</v>
          </cell>
          <cell r="T19">
            <v>212174005</v>
          </cell>
          <cell r="U19">
            <v>3153773</v>
          </cell>
          <cell r="V19">
            <v>14659629</v>
          </cell>
          <cell r="W19" t="str">
            <v>-</v>
          </cell>
          <cell r="X19" t="str">
            <v>-</v>
          </cell>
          <cell r="Y19">
            <v>-24863</v>
          </cell>
          <cell r="Z19">
            <v>17788539</v>
          </cell>
        </row>
        <row r="20">
          <cell r="B20">
            <v>10098</v>
          </cell>
          <cell r="C20">
            <v>54629</v>
          </cell>
          <cell r="D20" t="str">
            <v>-</v>
          </cell>
          <cell r="E20" t="str">
            <v>-</v>
          </cell>
          <cell r="F20">
            <v>81</v>
          </cell>
          <cell r="G20">
            <v>64809</v>
          </cell>
          <cell r="H20">
            <v>214998489</v>
          </cell>
          <cell r="I20">
            <v>128662647</v>
          </cell>
          <cell r="J20" t="str">
            <v>-</v>
          </cell>
          <cell r="K20" t="str">
            <v>-</v>
          </cell>
          <cell r="L20">
            <v>882668</v>
          </cell>
          <cell r="M20">
            <v>344543804</v>
          </cell>
          <cell r="N20" t="str">
            <v>107年</v>
          </cell>
          <cell r="O20">
            <v>119243466</v>
          </cell>
          <cell r="P20">
            <v>78662420</v>
          </cell>
          <cell r="Q20" t="str">
            <v>-</v>
          </cell>
          <cell r="R20" t="str">
            <v>-</v>
          </cell>
          <cell r="S20">
            <v>437563</v>
          </cell>
          <cell r="T20">
            <v>198343448</v>
          </cell>
          <cell r="U20">
            <v>2760774</v>
          </cell>
          <cell r="V20">
            <v>14508537</v>
          </cell>
          <cell r="W20" t="str">
            <v>-</v>
          </cell>
          <cell r="X20" t="str">
            <v>-</v>
          </cell>
          <cell r="Y20">
            <v>-47463</v>
          </cell>
          <cell r="Z20">
            <v>17221849</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機關數-OK"/>
      <sheetName val="2人數-OK"/>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性別"/>
      <sheetName val="41支出(公)(政府別)-性別"/>
      <sheetName val="42支出(教)(政府別)-性別"/>
      <sheetName val="43支出(總)-0"/>
      <sheetName val="44支出(政)-0"/>
      <sheetName val="45支出(公)-0"/>
      <sheetName val="46支出(教)-OK  "/>
      <sheetName val="47支出(軍)-OK"/>
      <sheetName val="48定撥(歷年)-OK"/>
      <sheetName val="49定撥(當年度)-OK"/>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sheetData sheetId="1"/>
      <sheetData sheetId="2">
        <row r="21">
          <cell r="B21">
            <v>663550</v>
          </cell>
          <cell r="C21">
            <v>389252</v>
          </cell>
          <cell r="D21">
            <v>0</v>
          </cell>
          <cell r="E21">
            <v>274298</v>
          </cell>
          <cell r="F21">
            <v>0</v>
          </cell>
          <cell r="G21">
            <v>330613</v>
          </cell>
          <cell r="H21">
            <v>234418</v>
          </cell>
          <cell r="I21">
            <v>0</v>
          </cell>
          <cell r="J21">
            <v>96195</v>
          </cell>
          <cell r="K21">
            <v>0</v>
          </cell>
          <cell r="L21">
            <v>208944</v>
          </cell>
          <cell r="M21">
            <v>91980</v>
          </cell>
          <cell r="N21">
            <v>0</v>
          </cell>
          <cell r="O21">
            <v>116964</v>
          </cell>
          <cell r="P21">
            <v>92493</v>
          </cell>
          <cell r="Q21">
            <v>44225</v>
          </cell>
          <cell r="R21">
            <v>0</v>
          </cell>
          <cell r="S21">
            <v>48268</v>
          </cell>
          <cell r="T21">
            <v>9886</v>
          </cell>
          <cell r="U21">
            <v>4700</v>
          </cell>
          <cell r="V21">
            <v>5186</v>
          </cell>
          <cell r="W21">
            <v>21614</v>
          </cell>
          <cell r="X21">
            <v>13929</v>
          </cell>
          <cell r="Y21">
            <v>7685</v>
          </cell>
        </row>
      </sheetData>
      <sheetData sheetId="3">
        <row r="21">
          <cell r="B21">
            <v>663550</v>
          </cell>
          <cell r="C21">
            <v>389252</v>
          </cell>
          <cell r="D21">
            <v>0</v>
          </cell>
          <cell r="E21">
            <v>274298</v>
          </cell>
          <cell r="F21">
            <v>0</v>
          </cell>
          <cell r="G21">
            <v>302684</v>
          </cell>
          <cell r="H21">
            <v>173288</v>
          </cell>
          <cell r="I21">
            <v>0</v>
          </cell>
          <cell r="J21">
            <v>129396</v>
          </cell>
          <cell r="K21">
            <v>0</v>
          </cell>
          <cell r="L21">
            <v>182365</v>
          </cell>
          <cell r="M21">
            <v>64271</v>
          </cell>
          <cell r="N21">
            <v>0</v>
          </cell>
          <cell r="O21">
            <v>118094</v>
          </cell>
          <cell r="P21">
            <v>178501</v>
          </cell>
          <cell r="Q21">
            <v>151693</v>
          </cell>
          <cell r="R21">
            <v>0</v>
          </cell>
          <cell r="S21">
            <v>26808</v>
          </cell>
        </row>
      </sheetData>
      <sheetData sheetId="4"/>
      <sheetData sheetId="5"/>
      <sheetData sheetId="6"/>
      <sheetData sheetId="7"/>
      <sheetData sheetId="8"/>
      <sheetData sheetId="9"/>
      <sheetData sheetId="10"/>
      <sheetData sheetId="11">
        <row r="6">
          <cell r="B6">
            <v>0</v>
          </cell>
          <cell r="C6">
            <v>0</v>
          </cell>
          <cell r="D6">
            <v>0</v>
          </cell>
          <cell r="E6">
            <v>0</v>
          </cell>
          <cell r="F6">
            <v>0</v>
          </cell>
          <cell r="G6">
            <v>0</v>
          </cell>
          <cell r="H6">
            <v>0</v>
          </cell>
          <cell r="I6">
            <v>0</v>
          </cell>
          <cell r="J6">
            <v>0</v>
          </cell>
          <cell r="K6">
            <v>0</v>
          </cell>
          <cell r="L6">
            <v>0</v>
          </cell>
          <cell r="M6">
            <v>0</v>
          </cell>
          <cell r="N6">
            <v>0</v>
          </cell>
        </row>
        <row r="7">
          <cell r="B7">
            <v>0</v>
          </cell>
          <cell r="C7">
            <v>0</v>
          </cell>
          <cell r="D7">
            <v>0</v>
          </cell>
          <cell r="E7">
            <v>0</v>
          </cell>
          <cell r="F7">
            <v>0</v>
          </cell>
          <cell r="G7">
            <v>0</v>
          </cell>
          <cell r="H7">
            <v>0</v>
          </cell>
          <cell r="I7">
            <v>0</v>
          </cell>
          <cell r="J7">
            <v>0</v>
          </cell>
          <cell r="K7">
            <v>0</v>
          </cell>
          <cell r="L7">
            <v>0</v>
          </cell>
          <cell r="M7">
            <v>0</v>
          </cell>
          <cell r="N7">
            <v>0</v>
          </cell>
        </row>
        <row r="8">
          <cell r="B8">
            <v>0</v>
          </cell>
          <cell r="C8">
            <v>0</v>
          </cell>
          <cell r="D8">
            <v>0</v>
          </cell>
          <cell r="E8">
            <v>0</v>
          </cell>
          <cell r="F8">
            <v>0</v>
          </cell>
          <cell r="G8">
            <v>0</v>
          </cell>
          <cell r="H8">
            <v>0</v>
          </cell>
          <cell r="I8">
            <v>0</v>
          </cell>
          <cell r="J8">
            <v>0</v>
          </cell>
          <cell r="K8">
            <v>0</v>
          </cell>
          <cell r="L8">
            <v>0</v>
          </cell>
          <cell r="M8">
            <v>0</v>
          </cell>
          <cell r="N8">
            <v>0</v>
          </cell>
        </row>
        <row r="9">
          <cell r="B9">
            <v>0</v>
          </cell>
          <cell r="C9">
            <v>0</v>
          </cell>
          <cell r="D9">
            <v>0</v>
          </cell>
          <cell r="E9">
            <v>0</v>
          </cell>
          <cell r="F9">
            <v>0</v>
          </cell>
          <cell r="G9">
            <v>0</v>
          </cell>
          <cell r="H9">
            <v>0</v>
          </cell>
          <cell r="I9">
            <v>0</v>
          </cell>
          <cell r="J9">
            <v>0</v>
          </cell>
          <cell r="K9">
            <v>0</v>
          </cell>
          <cell r="L9">
            <v>0</v>
          </cell>
          <cell r="M9">
            <v>0</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row r="12">
          <cell r="B12">
            <v>0</v>
          </cell>
          <cell r="C12">
            <v>0</v>
          </cell>
          <cell r="D12">
            <v>0</v>
          </cell>
          <cell r="E12">
            <v>0</v>
          </cell>
          <cell r="F12">
            <v>0</v>
          </cell>
          <cell r="G12">
            <v>0</v>
          </cell>
          <cell r="H12">
            <v>0</v>
          </cell>
          <cell r="I12">
            <v>0</v>
          </cell>
          <cell r="J12">
            <v>0</v>
          </cell>
          <cell r="K12">
            <v>0</v>
          </cell>
          <cell r="L12">
            <v>0</v>
          </cell>
          <cell r="M12">
            <v>0</v>
          </cell>
          <cell r="N12">
            <v>0</v>
          </cell>
        </row>
        <row r="13">
          <cell r="B13">
            <v>0</v>
          </cell>
          <cell r="C13">
            <v>0</v>
          </cell>
          <cell r="D13">
            <v>0</v>
          </cell>
          <cell r="E13">
            <v>0</v>
          </cell>
          <cell r="F13">
            <v>0</v>
          </cell>
          <cell r="G13">
            <v>0</v>
          </cell>
          <cell r="H13">
            <v>0</v>
          </cell>
          <cell r="I13">
            <v>0</v>
          </cell>
          <cell r="J13">
            <v>0</v>
          </cell>
          <cell r="K13">
            <v>0</v>
          </cell>
          <cell r="L13">
            <v>0</v>
          </cell>
          <cell r="M13">
            <v>0</v>
          </cell>
          <cell r="N13">
            <v>0</v>
          </cell>
        </row>
        <row r="14">
          <cell r="B14">
            <v>0</v>
          </cell>
          <cell r="C14">
            <v>0</v>
          </cell>
          <cell r="D14">
            <v>0</v>
          </cell>
          <cell r="E14">
            <v>0</v>
          </cell>
          <cell r="F14">
            <v>0</v>
          </cell>
          <cell r="G14">
            <v>0</v>
          </cell>
          <cell r="H14">
            <v>0</v>
          </cell>
          <cell r="I14">
            <v>0</v>
          </cell>
          <cell r="J14">
            <v>0</v>
          </cell>
          <cell r="K14">
            <v>0</v>
          </cell>
          <cell r="L14">
            <v>0</v>
          </cell>
          <cell r="M14">
            <v>0</v>
          </cell>
          <cell r="N14">
            <v>0</v>
          </cell>
        </row>
        <row r="15">
          <cell r="B15">
            <v>0</v>
          </cell>
          <cell r="C15">
            <v>0</v>
          </cell>
          <cell r="D15">
            <v>0</v>
          </cell>
          <cell r="E15">
            <v>0</v>
          </cell>
          <cell r="F15">
            <v>0</v>
          </cell>
          <cell r="G15">
            <v>0</v>
          </cell>
          <cell r="H15">
            <v>0</v>
          </cell>
          <cell r="I15">
            <v>0</v>
          </cell>
          <cell r="J15">
            <v>0</v>
          </cell>
          <cell r="K15">
            <v>0</v>
          </cell>
          <cell r="L15">
            <v>0</v>
          </cell>
          <cell r="M15">
            <v>0</v>
          </cell>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B17">
            <v>0</v>
          </cell>
          <cell r="C17">
            <v>0</v>
          </cell>
          <cell r="D17">
            <v>0</v>
          </cell>
          <cell r="E17">
            <v>0</v>
          </cell>
          <cell r="F17">
            <v>0</v>
          </cell>
          <cell r="G17">
            <v>0</v>
          </cell>
          <cell r="H17">
            <v>0</v>
          </cell>
          <cell r="I17">
            <v>0</v>
          </cell>
          <cell r="J17">
            <v>0</v>
          </cell>
          <cell r="K17">
            <v>0</v>
          </cell>
          <cell r="L17">
            <v>0</v>
          </cell>
          <cell r="M17">
            <v>0</v>
          </cell>
          <cell r="N17">
            <v>0</v>
          </cell>
        </row>
        <row r="18">
          <cell r="B18">
            <v>0</v>
          </cell>
          <cell r="C18">
            <v>0</v>
          </cell>
          <cell r="D18">
            <v>0</v>
          </cell>
          <cell r="E18">
            <v>0</v>
          </cell>
          <cell r="F18">
            <v>0</v>
          </cell>
          <cell r="G18">
            <v>0</v>
          </cell>
          <cell r="H18">
            <v>0</v>
          </cell>
          <cell r="I18">
            <v>0</v>
          </cell>
          <cell r="J18">
            <v>0</v>
          </cell>
          <cell r="K18">
            <v>0</v>
          </cell>
          <cell r="L18">
            <v>0</v>
          </cell>
          <cell r="M18">
            <v>0</v>
          </cell>
          <cell r="N18">
            <v>0</v>
          </cell>
        </row>
        <row r="19">
          <cell r="B19">
            <v>0</v>
          </cell>
          <cell r="C19">
            <v>0</v>
          </cell>
          <cell r="D19">
            <v>0</v>
          </cell>
          <cell r="E19">
            <v>0</v>
          </cell>
          <cell r="F19">
            <v>0</v>
          </cell>
          <cell r="G19">
            <v>0</v>
          </cell>
          <cell r="H19">
            <v>0</v>
          </cell>
          <cell r="I19">
            <v>0</v>
          </cell>
          <cell r="J19">
            <v>0</v>
          </cell>
          <cell r="K19">
            <v>0</v>
          </cell>
          <cell r="L19">
            <v>0</v>
          </cell>
          <cell r="M19">
            <v>0</v>
          </cell>
          <cell r="N19">
            <v>0</v>
          </cell>
        </row>
        <row r="20">
          <cell r="B20">
            <v>0</v>
          </cell>
          <cell r="C20">
            <v>0</v>
          </cell>
          <cell r="D20">
            <v>0</v>
          </cell>
          <cell r="E20">
            <v>0</v>
          </cell>
          <cell r="F20">
            <v>0</v>
          </cell>
          <cell r="G20">
            <v>0</v>
          </cell>
          <cell r="H20">
            <v>0</v>
          </cell>
          <cell r="I20">
            <v>0</v>
          </cell>
          <cell r="J20">
            <v>0</v>
          </cell>
          <cell r="K20">
            <v>0</v>
          </cell>
          <cell r="L20">
            <v>0</v>
          </cell>
          <cell r="M20">
            <v>0</v>
          </cell>
          <cell r="N20">
            <v>0</v>
          </cell>
        </row>
      </sheetData>
      <sheetData sheetId="12">
        <row r="6">
          <cell r="B6">
            <v>8435</v>
          </cell>
          <cell r="C6">
            <v>7288</v>
          </cell>
          <cell r="D6">
            <v>392</v>
          </cell>
          <cell r="E6">
            <v>6851</v>
          </cell>
          <cell r="F6">
            <v>45</v>
          </cell>
          <cell r="G6">
            <v>9</v>
          </cell>
          <cell r="H6">
            <v>209</v>
          </cell>
          <cell r="I6">
            <v>194</v>
          </cell>
          <cell r="J6">
            <v>58</v>
          </cell>
          <cell r="K6">
            <v>136</v>
          </cell>
          <cell r="L6">
            <v>15</v>
          </cell>
          <cell r="M6">
            <v>1</v>
          </cell>
          <cell r="N6">
            <v>14</v>
          </cell>
          <cell r="O6">
            <v>929</v>
          </cell>
        </row>
        <row r="7">
          <cell r="B7">
            <v>5197</v>
          </cell>
          <cell r="C7">
            <v>4467</v>
          </cell>
          <cell r="D7">
            <v>296</v>
          </cell>
          <cell r="E7">
            <v>4153</v>
          </cell>
          <cell r="F7">
            <v>18</v>
          </cell>
          <cell r="G7">
            <v>5</v>
          </cell>
          <cell r="H7">
            <v>149</v>
          </cell>
          <cell r="I7">
            <v>135</v>
          </cell>
          <cell r="J7">
            <v>37</v>
          </cell>
          <cell r="K7">
            <v>98</v>
          </cell>
          <cell r="L7">
            <v>14</v>
          </cell>
          <cell r="M7">
            <v>1</v>
          </cell>
          <cell r="N7">
            <v>13</v>
          </cell>
          <cell r="O7">
            <v>576</v>
          </cell>
        </row>
        <row r="8">
          <cell r="B8">
            <v>3238</v>
          </cell>
          <cell r="C8">
            <v>2821</v>
          </cell>
          <cell r="D8">
            <v>96</v>
          </cell>
          <cell r="E8">
            <v>2698</v>
          </cell>
          <cell r="F8">
            <v>27</v>
          </cell>
          <cell r="G8">
            <v>4</v>
          </cell>
          <cell r="H8">
            <v>60</v>
          </cell>
          <cell r="I8">
            <v>59</v>
          </cell>
          <cell r="J8">
            <v>21</v>
          </cell>
          <cell r="K8">
            <v>38</v>
          </cell>
          <cell r="L8">
            <v>1</v>
          </cell>
          <cell r="M8">
            <v>0</v>
          </cell>
          <cell r="N8">
            <v>1</v>
          </cell>
          <cell r="O8">
            <v>353</v>
          </cell>
        </row>
        <row r="9">
          <cell r="B9">
            <v>3472</v>
          </cell>
          <cell r="C9">
            <v>3086</v>
          </cell>
          <cell r="D9">
            <v>136</v>
          </cell>
          <cell r="E9">
            <v>2931</v>
          </cell>
          <cell r="F9">
            <v>19</v>
          </cell>
          <cell r="G9">
            <v>3</v>
          </cell>
          <cell r="H9">
            <v>73</v>
          </cell>
          <cell r="I9">
            <v>69</v>
          </cell>
          <cell r="J9">
            <v>25</v>
          </cell>
          <cell r="K9">
            <v>44</v>
          </cell>
          <cell r="L9">
            <v>4</v>
          </cell>
          <cell r="M9">
            <v>1</v>
          </cell>
          <cell r="N9">
            <v>3</v>
          </cell>
          <cell r="O9">
            <v>310</v>
          </cell>
        </row>
        <row r="10">
          <cell r="B10">
            <v>2112</v>
          </cell>
          <cell r="C10">
            <v>1893</v>
          </cell>
          <cell r="D10">
            <v>101</v>
          </cell>
          <cell r="E10">
            <v>1784</v>
          </cell>
          <cell r="F10">
            <v>8</v>
          </cell>
          <cell r="G10">
            <v>2</v>
          </cell>
          <cell r="H10">
            <v>47</v>
          </cell>
          <cell r="I10">
            <v>43</v>
          </cell>
          <cell r="J10">
            <v>12</v>
          </cell>
          <cell r="K10">
            <v>31</v>
          </cell>
          <cell r="L10">
            <v>4</v>
          </cell>
          <cell r="M10">
            <v>1</v>
          </cell>
          <cell r="N10">
            <v>3</v>
          </cell>
          <cell r="O10">
            <v>170</v>
          </cell>
        </row>
        <row r="11">
          <cell r="B11">
            <v>1360</v>
          </cell>
          <cell r="C11">
            <v>1193</v>
          </cell>
          <cell r="D11">
            <v>35</v>
          </cell>
          <cell r="E11">
            <v>1147</v>
          </cell>
          <cell r="F11">
            <v>11</v>
          </cell>
          <cell r="G11">
            <v>1</v>
          </cell>
          <cell r="H11">
            <v>26</v>
          </cell>
          <cell r="I11">
            <v>26</v>
          </cell>
          <cell r="J11">
            <v>13</v>
          </cell>
          <cell r="K11">
            <v>13</v>
          </cell>
          <cell r="L11">
            <v>0</v>
          </cell>
          <cell r="M11">
            <v>0</v>
          </cell>
          <cell r="N11">
            <v>0</v>
          </cell>
          <cell r="O11">
            <v>140</v>
          </cell>
        </row>
        <row r="12">
          <cell r="B12">
            <v>2374</v>
          </cell>
          <cell r="C12">
            <v>1982</v>
          </cell>
          <cell r="D12">
            <v>130</v>
          </cell>
          <cell r="E12">
            <v>1835</v>
          </cell>
          <cell r="F12">
            <v>17</v>
          </cell>
          <cell r="G12">
            <v>4</v>
          </cell>
          <cell r="H12">
            <v>68</v>
          </cell>
          <cell r="I12">
            <v>62</v>
          </cell>
          <cell r="J12">
            <v>12</v>
          </cell>
          <cell r="K12">
            <v>50</v>
          </cell>
          <cell r="L12">
            <v>6</v>
          </cell>
          <cell r="M12">
            <v>0</v>
          </cell>
          <cell r="N12">
            <v>6</v>
          </cell>
          <cell r="O12">
            <v>320</v>
          </cell>
        </row>
        <row r="13">
          <cell r="B13">
            <v>1391</v>
          </cell>
          <cell r="C13">
            <v>1125</v>
          </cell>
          <cell r="D13">
            <v>99</v>
          </cell>
          <cell r="E13">
            <v>1021</v>
          </cell>
          <cell r="F13">
            <v>5</v>
          </cell>
          <cell r="G13">
            <v>1</v>
          </cell>
          <cell r="H13">
            <v>50</v>
          </cell>
          <cell r="I13">
            <v>45</v>
          </cell>
          <cell r="J13">
            <v>8</v>
          </cell>
          <cell r="K13">
            <v>37</v>
          </cell>
          <cell r="L13">
            <v>5</v>
          </cell>
          <cell r="M13">
            <v>0</v>
          </cell>
          <cell r="N13">
            <v>5</v>
          </cell>
          <cell r="O13">
            <v>215</v>
          </cell>
        </row>
        <row r="14">
          <cell r="B14">
            <v>983</v>
          </cell>
          <cell r="C14">
            <v>857</v>
          </cell>
          <cell r="D14">
            <v>31</v>
          </cell>
          <cell r="E14">
            <v>814</v>
          </cell>
          <cell r="F14">
            <v>12</v>
          </cell>
          <cell r="G14">
            <v>3</v>
          </cell>
          <cell r="H14">
            <v>18</v>
          </cell>
          <cell r="I14">
            <v>17</v>
          </cell>
          <cell r="J14">
            <v>4</v>
          </cell>
          <cell r="K14">
            <v>13</v>
          </cell>
          <cell r="L14">
            <v>1</v>
          </cell>
          <cell r="M14">
            <v>0</v>
          </cell>
          <cell r="N14">
            <v>1</v>
          </cell>
          <cell r="O14">
            <v>105</v>
          </cell>
        </row>
        <row r="15">
          <cell r="B15">
            <v>1279</v>
          </cell>
          <cell r="C15">
            <v>1117</v>
          </cell>
          <cell r="D15">
            <v>88</v>
          </cell>
          <cell r="E15">
            <v>1021</v>
          </cell>
          <cell r="F15">
            <v>8</v>
          </cell>
          <cell r="G15">
            <v>2</v>
          </cell>
          <cell r="H15">
            <v>42</v>
          </cell>
          <cell r="I15">
            <v>39</v>
          </cell>
          <cell r="J15">
            <v>10</v>
          </cell>
          <cell r="K15">
            <v>29</v>
          </cell>
          <cell r="L15">
            <v>3</v>
          </cell>
          <cell r="M15">
            <v>0</v>
          </cell>
          <cell r="N15">
            <v>3</v>
          </cell>
          <cell r="O15">
            <v>118</v>
          </cell>
        </row>
        <row r="16">
          <cell r="B16">
            <v>876</v>
          </cell>
          <cell r="C16">
            <v>765</v>
          </cell>
          <cell r="D16">
            <v>77</v>
          </cell>
          <cell r="E16">
            <v>683</v>
          </cell>
          <cell r="F16">
            <v>5</v>
          </cell>
          <cell r="G16">
            <v>2</v>
          </cell>
          <cell r="H16">
            <v>32</v>
          </cell>
          <cell r="I16">
            <v>29</v>
          </cell>
          <cell r="J16">
            <v>9</v>
          </cell>
          <cell r="K16">
            <v>20</v>
          </cell>
          <cell r="L16">
            <v>3</v>
          </cell>
          <cell r="M16">
            <v>0</v>
          </cell>
          <cell r="N16">
            <v>3</v>
          </cell>
          <cell r="O16">
            <v>77</v>
          </cell>
        </row>
        <row r="17">
          <cell r="B17">
            <v>403</v>
          </cell>
          <cell r="C17">
            <v>352</v>
          </cell>
          <cell r="D17">
            <v>11</v>
          </cell>
          <cell r="E17">
            <v>338</v>
          </cell>
          <cell r="F17">
            <v>3</v>
          </cell>
          <cell r="G17">
            <v>0</v>
          </cell>
          <cell r="H17">
            <v>10</v>
          </cell>
          <cell r="I17">
            <v>10</v>
          </cell>
          <cell r="J17">
            <v>1</v>
          </cell>
          <cell r="K17">
            <v>9</v>
          </cell>
          <cell r="L17">
            <v>0</v>
          </cell>
          <cell r="M17">
            <v>0</v>
          </cell>
          <cell r="N17">
            <v>0</v>
          </cell>
          <cell r="O17">
            <v>41</v>
          </cell>
        </row>
        <row r="18">
          <cell r="B18">
            <v>446</v>
          </cell>
          <cell r="C18">
            <v>330</v>
          </cell>
          <cell r="D18">
            <v>15</v>
          </cell>
          <cell r="E18">
            <v>315</v>
          </cell>
          <cell r="F18">
            <v>0</v>
          </cell>
          <cell r="G18">
            <v>0</v>
          </cell>
          <cell r="H18">
            <v>14</v>
          </cell>
          <cell r="I18">
            <v>13</v>
          </cell>
          <cell r="J18">
            <v>4</v>
          </cell>
          <cell r="K18">
            <v>9</v>
          </cell>
          <cell r="L18">
            <v>1</v>
          </cell>
          <cell r="M18">
            <v>0</v>
          </cell>
          <cell r="N18">
            <v>1</v>
          </cell>
          <cell r="O18">
            <v>102</v>
          </cell>
        </row>
        <row r="19">
          <cell r="B19">
            <v>229</v>
          </cell>
          <cell r="C19">
            <v>155</v>
          </cell>
          <cell r="D19">
            <v>10</v>
          </cell>
          <cell r="E19">
            <v>145</v>
          </cell>
          <cell r="F19">
            <v>0</v>
          </cell>
          <cell r="G19">
            <v>0</v>
          </cell>
          <cell r="H19">
            <v>8</v>
          </cell>
          <cell r="I19">
            <v>7</v>
          </cell>
          <cell r="J19">
            <v>1</v>
          </cell>
          <cell r="K19">
            <v>6</v>
          </cell>
          <cell r="L19">
            <v>1</v>
          </cell>
          <cell r="M19">
            <v>0</v>
          </cell>
          <cell r="N19">
            <v>1</v>
          </cell>
          <cell r="O19">
            <v>66</v>
          </cell>
        </row>
        <row r="20">
          <cell r="B20">
            <v>217</v>
          </cell>
          <cell r="C20">
            <v>175</v>
          </cell>
          <cell r="D20">
            <v>5</v>
          </cell>
          <cell r="E20">
            <v>170</v>
          </cell>
          <cell r="F20">
            <v>0</v>
          </cell>
          <cell r="G20">
            <v>0</v>
          </cell>
          <cell r="H20">
            <v>6</v>
          </cell>
          <cell r="I20">
            <v>6</v>
          </cell>
          <cell r="J20">
            <v>3</v>
          </cell>
          <cell r="K20">
            <v>3</v>
          </cell>
          <cell r="L20">
            <v>0</v>
          </cell>
          <cell r="M20">
            <v>0</v>
          </cell>
          <cell r="N20">
            <v>0</v>
          </cell>
          <cell r="O20">
            <v>36</v>
          </cell>
        </row>
        <row r="21">
          <cell r="B21">
            <v>864</v>
          </cell>
          <cell r="C21">
            <v>773</v>
          </cell>
          <cell r="D21">
            <v>23</v>
          </cell>
          <cell r="E21">
            <v>749</v>
          </cell>
          <cell r="F21">
            <v>1</v>
          </cell>
          <cell r="G21">
            <v>0</v>
          </cell>
          <cell r="H21">
            <v>12</v>
          </cell>
          <cell r="I21">
            <v>11</v>
          </cell>
          <cell r="J21">
            <v>7</v>
          </cell>
          <cell r="K21">
            <v>4</v>
          </cell>
          <cell r="L21">
            <v>1</v>
          </cell>
          <cell r="M21">
            <v>0</v>
          </cell>
          <cell r="N21">
            <v>1</v>
          </cell>
          <cell r="O21">
            <v>79</v>
          </cell>
        </row>
        <row r="22">
          <cell r="B22">
            <v>589</v>
          </cell>
          <cell r="C22">
            <v>529</v>
          </cell>
          <cell r="D22">
            <v>9</v>
          </cell>
          <cell r="E22">
            <v>520</v>
          </cell>
          <cell r="F22">
            <v>0</v>
          </cell>
          <cell r="G22">
            <v>0</v>
          </cell>
          <cell r="H22">
            <v>12</v>
          </cell>
          <cell r="I22">
            <v>11</v>
          </cell>
          <cell r="J22">
            <v>7</v>
          </cell>
          <cell r="K22">
            <v>4</v>
          </cell>
          <cell r="L22">
            <v>1</v>
          </cell>
          <cell r="M22">
            <v>0</v>
          </cell>
          <cell r="N22">
            <v>1</v>
          </cell>
          <cell r="O22">
            <v>48</v>
          </cell>
        </row>
        <row r="23">
          <cell r="B23">
            <v>275</v>
          </cell>
          <cell r="C23">
            <v>244</v>
          </cell>
          <cell r="D23">
            <v>14</v>
          </cell>
          <cell r="E23">
            <v>229</v>
          </cell>
          <cell r="F23">
            <v>1</v>
          </cell>
          <cell r="G23">
            <v>0</v>
          </cell>
          <cell r="H23">
            <v>0</v>
          </cell>
          <cell r="I23">
            <v>0</v>
          </cell>
          <cell r="J23">
            <v>0</v>
          </cell>
          <cell r="K23">
            <v>0</v>
          </cell>
          <cell r="L23">
            <v>0</v>
          </cell>
          <cell r="M23">
            <v>0</v>
          </cell>
          <cell r="N23">
            <v>0</v>
          </cell>
          <cell r="O23">
            <v>31</v>
          </cell>
        </row>
      </sheetData>
      <sheetData sheetId="13">
        <row r="6">
          <cell r="B6">
            <v>4250</v>
          </cell>
          <cell r="C6">
            <v>3962</v>
          </cell>
          <cell r="D6">
            <v>87</v>
          </cell>
          <cell r="E6">
            <v>3852</v>
          </cell>
          <cell r="F6">
            <v>23</v>
          </cell>
          <cell r="G6">
            <v>10</v>
          </cell>
          <cell r="H6">
            <v>104</v>
          </cell>
          <cell r="I6">
            <v>101</v>
          </cell>
          <cell r="J6">
            <v>22</v>
          </cell>
          <cell r="K6">
            <v>79</v>
          </cell>
          <cell r="L6">
            <v>3</v>
          </cell>
          <cell r="M6">
            <v>0</v>
          </cell>
          <cell r="N6">
            <v>3</v>
          </cell>
          <cell r="O6">
            <v>174</v>
          </cell>
        </row>
        <row r="7">
          <cell r="B7">
            <v>1658</v>
          </cell>
          <cell r="C7">
            <v>1529</v>
          </cell>
          <cell r="D7">
            <v>45</v>
          </cell>
          <cell r="E7">
            <v>1474</v>
          </cell>
          <cell r="F7">
            <v>10</v>
          </cell>
          <cell r="G7">
            <v>2</v>
          </cell>
          <cell r="H7">
            <v>61</v>
          </cell>
          <cell r="I7">
            <v>59</v>
          </cell>
          <cell r="J7">
            <v>10</v>
          </cell>
          <cell r="K7">
            <v>49</v>
          </cell>
          <cell r="L7">
            <v>2</v>
          </cell>
          <cell r="M7">
            <v>0</v>
          </cell>
          <cell r="N7">
            <v>2</v>
          </cell>
          <cell r="O7">
            <v>66</v>
          </cell>
        </row>
        <row r="8">
          <cell r="B8">
            <v>2592</v>
          </cell>
          <cell r="C8">
            <v>2433</v>
          </cell>
          <cell r="D8">
            <v>42</v>
          </cell>
          <cell r="E8">
            <v>2378</v>
          </cell>
          <cell r="F8">
            <v>13</v>
          </cell>
          <cell r="G8">
            <v>8</v>
          </cell>
          <cell r="H8">
            <v>43</v>
          </cell>
          <cell r="I8">
            <v>42</v>
          </cell>
          <cell r="J8">
            <v>12</v>
          </cell>
          <cell r="K8">
            <v>30</v>
          </cell>
          <cell r="L8">
            <v>1</v>
          </cell>
          <cell r="M8">
            <v>0</v>
          </cell>
          <cell r="N8">
            <v>1</v>
          </cell>
          <cell r="O8">
            <v>108</v>
          </cell>
        </row>
        <row r="9">
          <cell r="B9">
            <v>877</v>
          </cell>
          <cell r="C9">
            <v>805</v>
          </cell>
          <cell r="D9">
            <v>37</v>
          </cell>
          <cell r="E9">
            <v>761</v>
          </cell>
          <cell r="F9">
            <v>7</v>
          </cell>
          <cell r="G9">
            <v>1</v>
          </cell>
          <cell r="H9">
            <v>22</v>
          </cell>
          <cell r="I9">
            <v>21</v>
          </cell>
          <cell r="J9">
            <v>8</v>
          </cell>
          <cell r="K9">
            <v>13</v>
          </cell>
          <cell r="L9">
            <v>1</v>
          </cell>
          <cell r="M9">
            <v>0</v>
          </cell>
          <cell r="N9">
            <v>1</v>
          </cell>
          <cell r="O9">
            <v>49</v>
          </cell>
        </row>
        <row r="10">
          <cell r="B10">
            <v>569</v>
          </cell>
          <cell r="C10">
            <v>528</v>
          </cell>
          <cell r="D10">
            <v>28</v>
          </cell>
          <cell r="E10">
            <v>496</v>
          </cell>
          <cell r="F10">
            <v>4</v>
          </cell>
          <cell r="G10">
            <v>0</v>
          </cell>
          <cell r="H10">
            <v>15</v>
          </cell>
          <cell r="I10">
            <v>14</v>
          </cell>
          <cell r="J10">
            <v>5</v>
          </cell>
          <cell r="K10">
            <v>9</v>
          </cell>
          <cell r="L10">
            <v>1</v>
          </cell>
          <cell r="M10">
            <v>0</v>
          </cell>
          <cell r="N10">
            <v>1</v>
          </cell>
          <cell r="O10">
            <v>26</v>
          </cell>
        </row>
        <row r="11">
          <cell r="B11">
            <v>308</v>
          </cell>
          <cell r="C11">
            <v>277</v>
          </cell>
          <cell r="D11">
            <v>9</v>
          </cell>
          <cell r="E11">
            <v>265</v>
          </cell>
          <cell r="F11">
            <v>3</v>
          </cell>
          <cell r="G11">
            <v>1</v>
          </cell>
          <cell r="H11">
            <v>7</v>
          </cell>
          <cell r="I11">
            <v>7</v>
          </cell>
          <cell r="J11">
            <v>3</v>
          </cell>
          <cell r="K11">
            <v>4</v>
          </cell>
          <cell r="L11">
            <v>0</v>
          </cell>
          <cell r="M11">
            <v>0</v>
          </cell>
          <cell r="N11">
            <v>0</v>
          </cell>
          <cell r="O11">
            <v>23</v>
          </cell>
        </row>
        <row r="12">
          <cell r="B12">
            <v>2357</v>
          </cell>
          <cell r="C12">
            <v>2206</v>
          </cell>
          <cell r="D12">
            <v>32</v>
          </cell>
          <cell r="E12">
            <v>2164</v>
          </cell>
          <cell r="F12">
            <v>10</v>
          </cell>
          <cell r="G12">
            <v>5</v>
          </cell>
          <cell r="H12">
            <v>58</v>
          </cell>
          <cell r="I12">
            <v>57</v>
          </cell>
          <cell r="J12">
            <v>9</v>
          </cell>
          <cell r="K12">
            <v>48</v>
          </cell>
          <cell r="L12">
            <v>1</v>
          </cell>
          <cell r="M12">
            <v>0</v>
          </cell>
          <cell r="N12">
            <v>1</v>
          </cell>
          <cell r="O12">
            <v>88</v>
          </cell>
        </row>
        <row r="13">
          <cell r="B13">
            <v>743</v>
          </cell>
          <cell r="C13">
            <v>682</v>
          </cell>
          <cell r="D13">
            <v>10</v>
          </cell>
          <cell r="E13">
            <v>670</v>
          </cell>
          <cell r="F13">
            <v>2</v>
          </cell>
          <cell r="G13">
            <v>1</v>
          </cell>
          <cell r="H13">
            <v>31</v>
          </cell>
          <cell r="I13">
            <v>31</v>
          </cell>
          <cell r="J13">
            <v>3</v>
          </cell>
          <cell r="K13">
            <v>28</v>
          </cell>
          <cell r="L13">
            <v>0</v>
          </cell>
          <cell r="M13">
            <v>0</v>
          </cell>
          <cell r="N13">
            <v>0</v>
          </cell>
          <cell r="O13">
            <v>29</v>
          </cell>
        </row>
        <row r="14">
          <cell r="B14">
            <v>1614</v>
          </cell>
          <cell r="C14">
            <v>1524</v>
          </cell>
          <cell r="D14">
            <v>22</v>
          </cell>
          <cell r="E14">
            <v>1494</v>
          </cell>
          <cell r="F14">
            <v>8</v>
          </cell>
          <cell r="G14">
            <v>4</v>
          </cell>
          <cell r="H14">
            <v>27</v>
          </cell>
          <cell r="I14">
            <v>26</v>
          </cell>
          <cell r="J14">
            <v>6</v>
          </cell>
          <cell r="K14">
            <v>20</v>
          </cell>
          <cell r="L14">
            <v>1</v>
          </cell>
          <cell r="M14">
            <v>0</v>
          </cell>
          <cell r="N14">
            <v>1</v>
          </cell>
          <cell r="O14">
            <v>59</v>
          </cell>
        </row>
        <row r="15">
          <cell r="B15">
            <v>1016</v>
          </cell>
          <cell r="C15">
            <v>951</v>
          </cell>
          <cell r="D15">
            <v>18</v>
          </cell>
          <cell r="E15">
            <v>927</v>
          </cell>
          <cell r="F15">
            <v>6</v>
          </cell>
          <cell r="G15">
            <v>4</v>
          </cell>
          <cell r="H15">
            <v>24</v>
          </cell>
          <cell r="I15">
            <v>23</v>
          </cell>
          <cell r="J15">
            <v>5</v>
          </cell>
          <cell r="K15">
            <v>18</v>
          </cell>
          <cell r="L15">
            <v>1</v>
          </cell>
          <cell r="M15">
            <v>0</v>
          </cell>
          <cell r="N15">
            <v>1</v>
          </cell>
          <cell r="O15">
            <v>37</v>
          </cell>
        </row>
        <row r="16">
          <cell r="B16">
            <v>346</v>
          </cell>
          <cell r="C16">
            <v>319</v>
          </cell>
          <cell r="D16">
            <v>7</v>
          </cell>
          <cell r="E16">
            <v>308</v>
          </cell>
          <cell r="F16">
            <v>4</v>
          </cell>
          <cell r="G16">
            <v>1</v>
          </cell>
          <cell r="H16">
            <v>15</v>
          </cell>
          <cell r="I16">
            <v>14</v>
          </cell>
          <cell r="J16">
            <v>2</v>
          </cell>
          <cell r="K16">
            <v>12</v>
          </cell>
          <cell r="L16">
            <v>1</v>
          </cell>
          <cell r="M16">
            <v>0</v>
          </cell>
          <cell r="N16">
            <v>1</v>
          </cell>
          <cell r="O16">
            <v>11</v>
          </cell>
        </row>
        <row r="17">
          <cell r="B17">
            <v>670</v>
          </cell>
          <cell r="C17">
            <v>632</v>
          </cell>
          <cell r="D17">
            <v>11</v>
          </cell>
          <cell r="E17">
            <v>619</v>
          </cell>
          <cell r="F17">
            <v>2</v>
          </cell>
          <cell r="G17">
            <v>3</v>
          </cell>
          <cell r="H17">
            <v>9</v>
          </cell>
          <cell r="I17">
            <v>9</v>
          </cell>
          <cell r="J17">
            <v>3</v>
          </cell>
          <cell r="K17">
            <v>6</v>
          </cell>
          <cell r="L17">
            <v>0</v>
          </cell>
          <cell r="M17">
            <v>0</v>
          </cell>
          <cell r="N17">
            <v>0</v>
          </cell>
          <cell r="O17">
            <v>26</v>
          </cell>
        </row>
      </sheetData>
      <sheetData sheetId="14">
        <row r="5">
          <cell r="B5">
            <v>22747</v>
          </cell>
          <cell r="C5">
            <v>22728</v>
          </cell>
          <cell r="D5">
            <v>9942</v>
          </cell>
          <cell r="E5">
            <v>12718</v>
          </cell>
          <cell r="F5">
            <v>68</v>
          </cell>
          <cell r="G5">
            <v>19</v>
          </cell>
        </row>
        <row r="6">
          <cell r="B6">
            <v>16190</v>
          </cell>
          <cell r="C6">
            <v>16183</v>
          </cell>
          <cell r="D6">
            <v>8737</v>
          </cell>
          <cell r="E6">
            <v>7418</v>
          </cell>
          <cell r="F6">
            <v>28</v>
          </cell>
          <cell r="G6">
            <v>7</v>
          </cell>
        </row>
        <row r="7">
          <cell r="B7">
            <v>6557</v>
          </cell>
          <cell r="C7">
            <v>6545</v>
          </cell>
          <cell r="D7">
            <v>1205</v>
          </cell>
          <cell r="E7">
            <v>5300</v>
          </cell>
          <cell r="F7">
            <v>40</v>
          </cell>
          <cell r="G7">
            <v>12</v>
          </cell>
        </row>
        <row r="8">
          <cell r="B8">
            <v>1257</v>
          </cell>
          <cell r="C8">
            <v>1257</v>
          </cell>
          <cell r="D8">
            <v>1257</v>
          </cell>
          <cell r="E8">
            <v>0</v>
          </cell>
          <cell r="F8">
            <v>0</v>
          </cell>
          <cell r="G8">
            <v>0</v>
          </cell>
        </row>
        <row r="9">
          <cell r="B9">
            <v>1284</v>
          </cell>
          <cell r="C9">
            <v>1284</v>
          </cell>
          <cell r="D9">
            <v>1284</v>
          </cell>
          <cell r="E9">
            <v>0</v>
          </cell>
          <cell r="F9">
            <v>0</v>
          </cell>
          <cell r="G9">
            <v>0</v>
          </cell>
        </row>
        <row r="10">
          <cell r="B10">
            <v>828</v>
          </cell>
          <cell r="C10">
            <v>828</v>
          </cell>
          <cell r="D10">
            <v>828</v>
          </cell>
          <cell r="E10">
            <v>0</v>
          </cell>
          <cell r="F10">
            <v>0</v>
          </cell>
          <cell r="G10">
            <v>0</v>
          </cell>
        </row>
        <row r="11">
          <cell r="B11">
            <v>845</v>
          </cell>
          <cell r="C11">
            <v>845</v>
          </cell>
          <cell r="D11">
            <v>845</v>
          </cell>
          <cell r="E11">
            <v>0</v>
          </cell>
          <cell r="F11">
            <v>0</v>
          </cell>
          <cell r="G11">
            <v>0</v>
          </cell>
        </row>
        <row r="12">
          <cell r="B12">
            <v>1639</v>
          </cell>
          <cell r="C12">
            <v>1639</v>
          </cell>
          <cell r="D12">
            <v>1639</v>
          </cell>
          <cell r="E12">
            <v>0</v>
          </cell>
          <cell r="F12">
            <v>0</v>
          </cell>
          <cell r="G12">
            <v>0</v>
          </cell>
        </row>
        <row r="13">
          <cell r="B13">
            <v>1174</v>
          </cell>
          <cell r="C13">
            <v>1174</v>
          </cell>
          <cell r="D13">
            <v>1174</v>
          </cell>
          <cell r="E13">
            <v>0</v>
          </cell>
          <cell r="F13">
            <v>0</v>
          </cell>
          <cell r="G13">
            <v>0</v>
          </cell>
        </row>
        <row r="14">
          <cell r="B14">
            <v>692</v>
          </cell>
          <cell r="C14">
            <v>692</v>
          </cell>
          <cell r="D14">
            <v>692</v>
          </cell>
          <cell r="E14">
            <v>0</v>
          </cell>
          <cell r="F14">
            <v>0</v>
          </cell>
          <cell r="G14">
            <v>0</v>
          </cell>
        </row>
        <row r="15">
          <cell r="B15">
            <v>431</v>
          </cell>
          <cell r="C15">
            <v>431</v>
          </cell>
          <cell r="D15">
            <v>431</v>
          </cell>
          <cell r="E15">
            <v>0</v>
          </cell>
          <cell r="F15">
            <v>0</v>
          </cell>
          <cell r="G15">
            <v>0</v>
          </cell>
        </row>
        <row r="16">
          <cell r="B16">
            <v>266</v>
          </cell>
          <cell r="C16">
            <v>266</v>
          </cell>
          <cell r="D16">
            <v>266</v>
          </cell>
          <cell r="E16">
            <v>0</v>
          </cell>
          <cell r="F16">
            <v>0</v>
          </cell>
          <cell r="G16">
            <v>0</v>
          </cell>
        </row>
        <row r="17">
          <cell r="B17">
            <v>225</v>
          </cell>
          <cell r="C17">
            <v>225</v>
          </cell>
          <cell r="D17">
            <v>225</v>
          </cell>
          <cell r="E17">
            <v>0</v>
          </cell>
          <cell r="F17">
            <v>0</v>
          </cell>
          <cell r="G17">
            <v>0</v>
          </cell>
        </row>
        <row r="18">
          <cell r="B18">
            <v>190</v>
          </cell>
          <cell r="C18">
            <v>190</v>
          </cell>
          <cell r="D18">
            <v>190</v>
          </cell>
          <cell r="E18">
            <v>0</v>
          </cell>
          <cell r="F18">
            <v>0</v>
          </cell>
          <cell r="G18">
            <v>0</v>
          </cell>
        </row>
        <row r="19">
          <cell r="B19">
            <v>148</v>
          </cell>
          <cell r="C19">
            <v>148</v>
          </cell>
          <cell r="D19">
            <v>148</v>
          </cell>
          <cell r="E19">
            <v>0</v>
          </cell>
          <cell r="F19">
            <v>0</v>
          </cell>
          <cell r="G19">
            <v>0</v>
          </cell>
        </row>
        <row r="20">
          <cell r="B20">
            <v>127</v>
          </cell>
          <cell r="C20">
            <v>127</v>
          </cell>
          <cell r="D20">
            <v>127</v>
          </cell>
          <cell r="E20">
            <v>0</v>
          </cell>
          <cell r="F20">
            <v>0</v>
          </cell>
          <cell r="G20">
            <v>0</v>
          </cell>
        </row>
        <row r="21">
          <cell r="B21">
            <v>86</v>
          </cell>
          <cell r="C21">
            <v>86</v>
          </cell>
          <cell r="D21">
            <v>86</v>
          </cell>
          <cell r="E21">
            <v>0</v>
          </cell>
          <cell r="F21">
            <v>0</v>
          </cell>
          <cell r="G21">
            <v>0</v>
          </cell>
        </row>
        <row r="22">
          <cell r="B22">
            <v>76</v>
          </cell>
          <cell r="C22">
            <v>76</v>
          </cell>
          <cell r="D22">
            <v>76</v>
          </cell>
          <cell r="E22">
            <v>0</v>
          </cell>
          <cell r="F22">
            <v>0</v>
          </cell>
          <cell r="G22">
            <v>0</v>
          </cell>
        </row>
        <row r="23">
          <cell r="B23">
            <v>83</v>
          </cell>
          <cell r="C23">
            <v>83</v>
          </cell>
          <cell r="D23">
            <v>70</v>
          </cell>
          <cell r="E23">
            <v>13</v>
          </cell>
          <cell r="F23">
            <v>0</v>
          </cell>
          <cell r="G23">
            <v>0</v>
          </cell>
        </row>
        <row r="24">
          <cell r="B24">
            <v>213</v>
          </cell>
          <cell r="C24">
            <v>212</v>
          </cell>
          <cell r="D24">
            <v>28</v>
          </cell>
          <cell r="E24">
            <v>184</v>
          </cell>
          <cell r="F24">
            <v>0</v>
          </cell>
          <cell r="G24">
            <v>1</v>
          </cell>
        </row>
        <row r="25">
          <cell r="B25">
            <v>291</v>
          </cell>
          <cell r="C25">
            <v>291</v>
          </cell>
          <cell r="D25">
            <v>33</v>
          </cell>
          <cell r="E25">
            <v>258</v>
          </cell>
          <cell r="F25">
            <v>0</v>
          </cell>
          <cell r="G25">
            <v>0</v>
          </cell>
        </row>
        <row r="26">
          <cell r="B26">
            <v>298</v>
          </cell>
          <cell r="C26">
            <v>297</v>
          </cell>
          <cell r="D26">
            <v>27</v>
          </cell>
          <cell r="E26">
            <v>270</v>
          </cell>
          <cell r="F26">
            <v>0</v>
          </cell>
          <cell r="G26">
            <v>1</v>
          </cell>
        </row>
        <row r="27">
          <cell r="B27">
            <v>314</v>
          </cell>
          <cell r="C27">
            <v>312</v>
          </cell>
          <cell r="D27">
            <v>19</v>
          </cell>
          <cell r="E27">
            <v>293</v>
          </cell>
          <cell r="F27">
            <v>0</v>
          </cell>
          <cell r="G27">
            <v>2</v>
          </cell>
        </row>
        <row r="28">
          <cell r="B28">
            <v>247</v>
          </cell>
          <cell r="C28">
            <v>244</v>
          </cell>
          <cell r="D28">
            <v>9</v>
          </cell>
          <cell r="E28">
            <v>235</v>
          </cell>
          <cell r="F28">
            <v>0</v>
          </cell>
          <cell r="G28">
            <v>3</v>
          </cell>
        </row>
        <row r="29">
          <cell r="B29">
            <v>206</v>
          </cell>
          <cell r="C29">
            <v>205</v>
          </cell>
          <cell r="D29">
            <v>8</v>
          </cell>
          <cell r="E29">
            <v>197</v>
          </cell>
          <cell r="F29">
            <v>0</v>
          </cell>
          <cell r="G29">
            <v>1</v>
          </cell>
        </row>
        <row r="30">
          <cell r="B30">
            <v>161</v>
          </cell>
          <cell r="C30">
            <v>159</v>
          </cell>
          <cell r="D30">
            <v>26</v>
          </cell>
          <cell r="E30">
            <v>133</v>
          </cell>
          <cell r="F30">
            <v>0</v>
          </cell>
          <cell r="G30">
            <v>2</v>
          </cell>
        </row>
        <row r="31">
          <cell r="B31">
            <v>115</v>
          </cell>
          <cell r="C31">
            <v>115</v>
          </cell>
          <cell r="D31">
            <v>41</v>
          </cell>
          <cell r="E31">
            <v>73</v>
          </cell>
          <cell r="F31">
            <v>1</v>
          </cell>
          <cell r="G31">
            <v>0</v>
          </cell>
        </row>
        <row r="32">
          <cell r="B32">
            <v>120</v>
          </cell>
          <cell r="C32">
            <v>119</v>
          </cell>
          <cell r="D32">
            <v>42</v>
          </cell>
          <cell r="E32">
            <v>77</v>
          </cell>
          <cell r="F32">
            <v>0</v>
          </cell>
          <cell r="G32">
            <v>1</v>
          </cell>
        </row>
        <row r="33">
          <cell r="B33">
            <v>109</v>
          </cell>
          <cell r="C33">
            <v>108</v>
          </cell>
          <cell r="D33">
            <v>49</v>
          </cell>
          <cell r="E33">
            <v>56</v>
          </cell>
          <cell r="F33">
            <v>3</v>
          </cell>
          <cell r="G33">
            <v>1</v>
          </cell>
        </row>
        <row r="34">
          <cell r="B34">
            <v>106</v>
          </cell>
          <cell r="C34">
            <v>106</v>
          </cell>
          <cell r="D34">
            <v>50</v>
          </cell>
          <cell r="E34">
            <v>54</v>
          </cell>
          <cell r="F34">
            <v>2</v>
          </cell>
          <cell r="G34">
            <v>0</v>
          </cell>
        </row>
        <row r="35">
          <cell r="B35">
            <v>113</v>
          </cell>
          <cell r="C35">
            <v>112</v>
          </cell>
          <cell r="D35">
            <v>42</v>
          </cell>
          <cell r="E35">
            <v>67</v>
          </cell>
          <cell r="F35">
            <v>3</v>
          </cell>
          <cell r="G35">
            <v>1</v>
          </cell>
        </row>
        <row r="36">
          <cell r="B36">
            <v>1578</v>
          </cell>
          <cell r="C36">
            <v>1574</v>
          </cell>
          <cell r="D36">
            <v>45</v>
          </cell>
          <cell r="E36">
            <v>1514</v>
          </cell>
          <cell r="F36">
            <v>15</v>
          </cell>
          <cell r="G36">
            <v>4</v>
          </cell>
        </row>
        <row r="37">
          <cell r="B37">
            <v>733</v>
          </cell>
          <cell r="C37">
            <v>733</v>
          </cell>
          <cell r="D37">
            <v>27</v>
          </cell>
          <cell r="E37">
            <v>701</v>
          </cell>
          <cell r="F37">
            <v>5</v>
          </cell>
          <cell r="G37">
            <v>0</v>
          </cell>
        </row>
        <row r="38">
          <cell r="B38">
            <v>787</v>
          </cell>
          <cell r="C38">
            <v>785</v>
          </cell>
          <cell r="D38">
            <v>18</v>
          </cell>
          <cell r="E38">
            <v>760</v>
          </cell>
          <cell r="F38">
            <v>7</v>
          </cell>
          <cell r="G38">
            <v>2</v>
          </cell>
        </row>
        <row r="39">
          <cell r="B39">
            <v>659</v>
          </cell>
          <cell r="C39">
            <v>659</v>
          </cell>
          <cell r="D39">
            <v>16</v>
          </cell>
          <cell r="E39">
            <v>641</v>
          </cell>
          <cell r="F39">
            <v>2</v>
          </cell>
          <cell r="G39">
            <v>0</v>
          </cell>
        </row>
        <row r="40">
          <cell r="B40">
            <v>717</v>
          </cell>
          <cell r="C40">
            <v>717</v>
          </cell>
          <cell r="D40">
            <v>11</v>
          </cell>
          <cell r="E40">
            <v>705</v>
          </cell>
          <cell r="F40">
            <v>1</v>
          </cell>
          <cell r="G40">
            <v>0</v>
          </cell>
        </row>
        <row r="41">
          <cell r="B41">
            <v>793</v>
          </cell>
          <cell r="C41">
            <v>793</v>
          </cell>
          <cell r="D41">
            <v>6</v>
          </cell>
          <cell r="E41">
            <v>786</v>
          </cell>
          <cell r="F41">
            <v>1</v>
          </cell>
          <cell r="G41">
            <v>0</v>
          </cell>
        </row>
        <row r="42">
          <cell r="B42">
            <v>524</v>
          </cell>
          <cell r="C42">
            <v>524</v>
          </cell>
          <cell r="D42">
            <v>1</v>
          </cell>
          <cell r="E42">
            <v>520</v>
          </cell>
          <cell r="F42">
            <v>3</v>
          </cell>
          <cell r="G42">
            <v>0</v>
          </cell>
        </row>
        <row r="43">
          <cell r="B43">
            <v>466</v>
          </cell>
          <cell r="C43">
            <v>466</v>
          </cell>
          <cell r="D43">
            <v>3</v>
          </cell>
          <cell r="E43">
            <v>462</v>
          </cell>
          <cell r="F43">
            <v>1</v>
          </cell>
          <cell r="G43">
            <v>0</v>
          </cell>
        </row>
        <row r="44">
          <cell r="B44">
            <v>457</v>
          </cell>
          <cell r="C44">
            <v>457</v>
          </cell>
          <cell r="D44">
            <v>6</v>
          </cell>
          <cell r="E44">
            <v>449</v>
          </cell>
          <cell r="F44">
            <v>2</v>
          </cell>
          <cell r="G44">
            <v>0</v>
          </cell>
        </row>
        <row r="45">
          <cell r="B45">
            <v>516</v>
          </cell>
          <cell r="C45">
            <v>516</v>
          </cell>
          <cell r="D45">
            <v>6</v>
          </cell>
          <cell r="E45">
            <v>509</v>
          </cell>
          <cell r="F45">
            <v>1</v>
          </cell>
          <cell r="G45">
            <v>0</v>
          </cell>
        </row>
        <row r="46">
          <cell r="B46">
            <v>758</v>
          </cell>
          <cell r="C46">
            <v>758</v>
          </cell>
          <cell r="D46">
            <v>17</v>
          </cell>
          <cell r="E46">
            <v>738</v>
          </cell>
          <cell r="F46">
            <v>3</v>
          </cell>
          <cell r="G46">
            <v>0</v>
          </cell>
        </row>
        <row r="47">
          <cell r="B47">
            <v>375</v>
          </cell>
          <cell r="C47">
            <v>375</v>
          </cell>
          <cell r="D47">
            <v>6</v>
          </cell>
          <cell r="E47">
            <v>369</v>
          </cell>
          <cell r="F47">
            <v>0</v>
          </cell>
          <cell r="G47">
            <v>0</v>
          </cell>
        </row>
        <row r="48">
          <cell r="B48">
            <v>312</v>
          </cell>
          <cell r="C48">
            <v>312</v>
          </cell>
          <cell r="D48">
            <v>4</v>
          </cell>
          <cell r="E48">
            <v>308</v>
          </cell>
          <cell r="F48">
            <v>0</v>
          </cell>
          <cell r="G48">
            <v>0</v>
          </cell>
        </row>
        <row r="49">
          <cell r="B49">
            <v>291</v>
          </cell>
          <cell r="C49">
            <v>291</v>
          </cell>
          <cell r="D49">
            <v>6</v>
          </cell>
          <cell r="E49">
            <v>285</v>
          </cell>
          <cell r="F49">
            <v>0</v>
          </cell>
          <cell r="G49">
            <v>0</v>
          </cell>
        </row>
        <row r="50">
          <cell r="B50">
            <v>429</v>
          </cell>
          <cell r="C50">
            <v>429</v>
          </cell>
          <cell r="D50">
            <v>7</v>
          </cell>
          <cell r="E50">
            <v>421</v>
          </cell>
          <cell r="F50">
            <v>1</v>
          </cell>
          <cell r="G50">
            <v>0</v>
          </cell>
        </row>
        <row r="51">
          <cell r="B51">
            <v>1623</v>
          </cell>
          <cell r="C51">
            <v>1623</v>
          </cell>
          <cell r="D51">
            <v>44</v>
          </cell>
          <cell r="E51">
            <v>1567</v>
          </cell>
          <cell r="F51">
            <v>12</v>
          </cell>
          <cell r="G51">
            <v>0</v>
          </cell>
        </row>
        <row r="52">
          <cell r="B52">
            <v>85</v>
          </cell>
          <cell r="C52">
            <v>85</v>
          </cell>
          <cell r="D52">
            <v>7</v>
          </cell>
          <cell r="E52">
            <v>73</v>
          </cell>
          <cell r="F52">
            <v>5</v>
          </cell>
          <cell r="G52">
            <v>0</v>
          </cell>
        </row>
      </sheetData>
      <sheetData sheetId="15">
        <row r="4">
          <cell r="B4">
            <v>0</v>
          </cell>
          <cell r="C4">
            <v>0</v>
          </cell>
          <cell r="D4">
            <v>0</v>
          </cell>
          <cell r="E4">
            <v>0</v>
          </cell>
        </row>
        <row r="5">
          <cell r="B5">
            <v>0</v>
          </cell>
          <cell r="C5">
            <v>0</v>
          </cell>
          <cell r="D5">
            <v>0</v>
          </cell>
          <cell r="E5">
            <v>0</v>
          </cell>
        </row>
        <row r="6">
          <cell r="B6">
            <v>0</v>
          </cell>
          <cell r="C6">
            <v>0</v>
          </cell>
          <cell r="D6">
            <v>0</v>
          </cell>
          <cell r="E6">
            <v>0</v>
          </cell>
        </row>
        <row r="7">
          <cell r="B7">
            <v>0</v>
          </cell>
          <cell r="C7">
            <v>0</v>
          </cell>
          <cell r="D7">
            <v>0</v>
          </cell>
          <cell r="E7">
            <v>0</v>
          </cell>
        </row>
        <row r="8">
          <cell r="B8">
            <v>0</v>
          </cell>
          <cell r="C8">
            <v>0</v>
          </cell>
          <cell r="D8">
            <v>0</v>
          </cell>
          <cell r="E8">
            <v>0</v>
          </cell>
        </row>
        <row r="9">
          <cell r="B9">
            <v>0</v>
          </cell>
          <cell r="C9">
            <v>0</v>
          </cell>
          <cell r="D9">
            <v>0</v>
          </cell>
          <cell r="E9">
            <v>0</v>
          </cell>
        </row>
        <row r="10">
          <cell r="B10">
            <v>0</v>
          </cell>
          <cell r="C10">
            <v>0</v>
          </cell>
          <cell r="D10">
            <v>0</v>
          </cell>
          <cell r="E10">
            <v>0</v>
          </cell>
        </row>
        <row r="11">
          <cell r="B11">
            <v>0</v>
          </cell>
          <cell r="C11">
            <v>0</v>
          </cell>
          <cell r="D11">
            <v>0</v>
          </cell>
          <cell r="E11">
            <v>0</v>
          </cell>
        </row>
        <row r="12">
          <cell r="B12">
            <v>0</v>
          </cell>
          <cell r="C12">
            <v>0</v>
          </cell>
          <cell r="D12">
            <v>0</v>
          </cell>
          <cell r="E12">
            <v>0</v>
          </cell>
        </row>
        <row r="13">
          <cell r="B13">
            <v>0</v>
          </cell>
          <cell r="C13">
            <v>0</v>
          </cell>
          <cell r="D13">
            <v>0</v>
          </cell>
          <cell r="E13">
            <v>0</v>
          </cell>
        </row>
        <row r="14">
          <cell r="B14">
            <v>0</v>
          </cell>
          <cell r="C14">
            <v>0</v>
          </cell>
          <cell r="D14">
            <v>0</v>
          </cell>
          <cell r="E14">
            <v>0</v>
          </cell>
        </row>
        <row r="15">
          <cell r="B15">
            <v>0</v>
          </cell>
          <cell r="C15">
            <v>0</v>
          </cell>
          <cell r="D15">
            <v>0</v>
          </cell>
          <cell r="E15">
            <v>0</v>
          </cell>
        </row>
        <row r="16">
          <cell r="B16">
            <v>0</v>
          </cell>
          <cell r="C16">
            <v>0</v>
          </cell>
          <cell r="D16">
            <v>0</v>
          </cell>
          <cell r="E16">
            <v>0</v>
          </cell>
        </row>
        <row r="17">
          <cell r="B17">
            <v>0</v>
          </cell>
          <cell r="C17">
            <v>0</v>
          </cell>
          <cell r="D17">
            <v>0</v>
          </cell>
          <cell r="E17">
            <v>0</v>
          </cell>
        </row>
        <row r="18">
          <cell r="B18">
            <v>0</v>
          </cell>
          <cell r="C18">
            <v>0</v>
          </cell>
          <cell r="D18">
            <v>0</v>
          </cell>
          <cell r="E18">
            <v>0</v>
          </cell>
        </row>
        <row r="19">
          <cell r="B19">
            <v>0</v>
          </cell>
          <cell r="C19">
            <v>0</v>
          </cell>
          <cell r="D19">
            <v>0</v>
          </cell>
          <cell r="E19">
            <v>0</v>
          </cell>
        </row>
        <row r="20">
          <cell r="B20">
            <v>0</v>
          </cell>
          <cell r="C20">
            <v>0</v>
          </cell>
          <cell r="D20">
            <v>0</v>
          </cell>
          <cell r="E20">
            <v>0</v>
          </cell>
        </row>
        <row r="21">
          <cell r="B21">
            <v>0</v>
          </cell>
          <cell r="C21">
            <v>0</v>
          </cell>
          <cell r="D21">
            <v>0</v>
          </cell>
          <cell r="E21">
            <v>0</v>
          </cell>
        </row>
        <row r="22">
          <cell r="B22">
            <v>0</v>
          </cell>
          <cell r="C22">
            <v>0</v>
          </cell>
          <cell r="D22">
            <v>0</v>
          </cell>
          <cell r="E22">
            <v>0</v>
          </cell>
        </row>
        <row r="23">
          <cell r="B23">
            <v>0</v>
          </cell>
          <cell r="C23">
            <v>0</v>
          </cell>
          <cell r="D23">
            <v>0</v>
          </cell>
          <cell r="E23">
            <v>0</v>
          </cell>
        </row>
        <row r="24">
          <cell r="B24">
            <v>0</v>
          </cell>
          <cell r="C24">
            <v>0</v>
          </cell>
          <cell r="D24">
            <v>0</v>
          </cell>
          <cell r="E24">
            <v>0</v>
          </cell>
        </row>
        <row r="25">
          <cell r="B25">
            <v>0</v>
          </cell>
          <cell r="C25">
            <v>0</v>
          </cell>
          <cell r="D25">
            <v>0</v>
          </cell>
          <cell r="E25">
            <v>0</v>
          </cell>
        </row>
        <row r="26">
          <cell r="B26">
            <v>0</v>
          </cell>
          <cell r="C26">
            <v>0</v>
          </cell>
          <cell r="D26">
            <v>0</v>
          </cell>
          <cell r="E26">
            <v>0</v>
          </cell>
        </row>
        <row r="27">
          <cell r="B27">
            <v>0</v>
          </cell>
          <cell r="C27">
            <v>0</v>
          </cell>
          <cell r="D27">
            <v>0</v>
          </cell>
          <cell r="E27">
            <v>0</v>
          </cell>
        </row>
        <row r="28">
          <cell r="B28">
            <v>0</v>
          </cell>
          <cell r="C28">
            <v>0</v>
          </cell>
          <cell r="D28">
            <v>0</v>
          </cell>
          <cell r="E28">
            <v>0</v>
          </cell>
        </row>
      </sheetData>
      <sheetData sheetId="16">
        <row r="5">
          <cell r="B5">
            <v>7297</v>
          </cell>
          <cell r="C5">
            <v>7288</v>
          </cell>
          <cell r="D5">
            <v>392</v>
          </cell>
          <cell r="E5">
            <v>6851</v>
          </cell>
          <cell r="F5">
            <v>45</v>
          </cell>
          <cell r="G5">
            <v>9</v>
          </cell>
        </row>
        <row r="6">
          <cell r="B6">
            <v>4472</v>
          </cell>
          <cell r="C6">
            <v>4467</v>
          </cell>
          <cell r="D6">
            <v>296</v>
          </cell>
          <cell r="E6">
            <v>4153</v>
          </cell>
          <cell r="F6">
            <v>18</v>
          </cell>
          <cell r="G6">
            <v>5</v>
          </cell>
        </row>
        <row r="7">
          <cell r="B7">
            <v>2825</v>
          </cell>
          <cell r="C7">
            <v>2821</v>
          </cell>
          <cell r="D7">
            <v>96</v>
          </cell>
          <cell r="E7">
            <v>2698</v>
          </cell>
          <cell r="F7">
            <v>27</v>
          </cell>
          <cell r="G7">
            <v>4</v>
          </cell>
        </row>
        <row r="8">
          <cell r="B8">
            <v>0</v>
          </cell>
          <cell r="C8">
            <v>0</v>
          </cell>
          <cell r="D8">
            <v>0</v>
          </cell>
          <cell r="E8">
            <v>0</v>
          </cell>
          <cell r="F8">
            <v>0</v>
          </cell>
          <cell r="G8">
            <v>0</v>
          </cell>
        </row>
        <row r="9">
          <cell r="B9">
            <v>0</v>
          </cell>
          <cell r="C9">
            <v>0</v>
          </cell>
          <cell r="D9">
            <v>0</v>
          </cell>
          <cell r="E9">
            <v>0</v>
          </cell>
          <cell r="F9">
            <v>0</v>
          </cell>
          <cell r="G9">
            <v>0</v>
          </cell>
        </row>
        <row r="10">
          <cell r="B10">
            <v>0</v>
          </cell>
          <cell r="C10">
            <v>0</v>
          </cell>
          <cell r="D10">
            <v>0</v>
          </cell>
          <cell r="E10">
            <v>0</v>
          </cell>
          <cell r="F10">
            <v>0</v>
          </cell>
          <cell r="G10">
            <v>0</v>
          </cell>
        </row>
        <row r="11">
          <cell r="B11">
            <v>0</v>
          </cell>
          <cell r="C11">
            <v>0</v>
          </cell>
          <cell r="D11">
            <v>0</v>
          </cell>
          <cell r="E11">
            <v>0</v>
          </cell>
          <cell r="F11">
            <v>0</v>
          </cell>
          <cell r="G11">
            <v>0</v>
          </cell>
        </row>
        <row r="12">
          <cell r="B12">
            <v>0</v>
          </cell>
          <cell r="C12">
            <v>0</v>
          </cell>
          <cell r="D12">
            <v>0</v>
          </cell>
          <cell r="E12">
            <v>0</v>
          </cell>
          <cell r="F12">
            <v>0</v>
          </cell>
          <cell r="G12">
            <v>0</v>
          </cell>
        </row>
        <row r="13">
          <cell r="B13">
            <v>0</v>
          </cell>
          <cell r="C13">
            <v>0</v>
          </cell>
          <cell r="D13">
            <v>0</v>
          </cell>
          <cell r="E13">
            <v>0</v>
          </cell>
          <cell r="F13">
            <v>0</v>
          </cell>
          <cell r="G13">
            <v>0</v>
          </cell>
        </row>
        <row r="14">
          <cell r="B14">
            <v>0</v>
          </cell>
          <cell r="C14">
            <v>0</v>
          </cell>
          <cell r="D14">
            <v>0</v>
          </cell>
          <cell r="E14">
            <v>0</v>
          </cell>
          <cell r="F14">
            <v>0</v>
          </cell>
          <cell r="G14">
            <v>0</v>
          </cell>
        </row>
        <row r="15">
          <cell r="B15">
            <v>0</v>
          </cell>
          <cell r="C15">
            <v>0</v>
          </cell>
          <cell r="D15">
            <v>0</v>
          </cell>
          <cell r="E15">
            <v>0</v>
          </cell>
          <cell r="F15">
            <v>0</v>
          </cell>
          <cell r="G15">
            <v>0</v>
          </cell>
        </row>
        <row r="16">
          <cell r="B16">
            <v>0</v>
          </cell>
          <cell r="C16">
            <v>0</v>
          </cell>
          <cell r="D16">
            <v>0</v>
          </cell>
          <cell r="E16">
            <v>0</v>
          </cell>
          <cell r="F16">
            <v>0</v>
          </cell>
          <cell r="G16">
            <v>0</v>
          </cell>
        </row>
        <row r="17">
          <cell r="B17">
            <v>0</v>
          </cell>
          <cell r="C17">
            <v>0</v>
          </cell>
          <cell r="D17">
            <v>0</v>
          </cell>
          <cell r="E17">
            <v>0</v>
          </cell>
          <cell r="F17">
            <v>0</v>
          </cell>
          <cell r="G17">
            <v>0</v>
          </cell>
        </row>
        <row r="18">
          <cell r="B18">
            <v>0</v>
          </cell>
          <cell r="C18">
            <v>0</v>
          </cell>
          <cell r="D18">
            <v>0</v>
          </cell>
          <cell r="E18">
            <v>0</v>
          </cell>
          <cell r="F18">
            <v>0</v>
          </cell>
          <cell r="G18">
            <v>0</v>
          </cell>
        </row>
        <row r="19">
          <cell r="B19">
            <v>0</v>
          </cell>
          <cell r="C19">
            <v>0</v>
          </cell>
          <cell r="D19">
            <v>0</v>
          </cell>
          <cell r="E19">
            <v>0</v>
          </cell>
          <cell r="F19">
            <v>0</v>
          </cell>
          <cell r="G19">
            <v>0</v>
          </cell>
        </row>
        <row r="20">
          <cell r="B20">
            <v>0</v>
          </cell>
          <cell r="C20">
            <v>0</v>
          </cell>
          <cell r="D20">
            <v>0</v>
          </cell>
          <cell r="E20">
            <v>0</v>
          </cell>
          <cell r="F20">
            <v>0</v>
          </cell>
          <cell r="G20">
            <v>0</v>
          </cell>
        </row>
        <row r="21">
          <cell r="B21">
            <v>0</v>
          </cell>
          <cell r="C21">
            <v>0</v>
          </cell>
          <cell r="D21">
            <v>0</v>
          </cell>
          <cell r="E21">
            <v>0</v>
          </cell>
          <cell r="F21">
            <v>0</v>
          </cell>
          <cell r="G21">
            <v>0</v>
          </cell>
        </row>
        <row r="22">
          <cell r="B22">
            <v>0</v>
          </cell>
          <cell r="C22">
            <v>0</v>
          </cell>
          <cell r="D22">
            <v>0</v>
          </cell>
          <cell r="E22">
            <v>0</v>
          </cell>
          <cell r="F22">
            <v>0</v>
          </cell>
          <cell r="G22">
            <v>0</v>
          </cell>
        </row>
        <row r="23">
          <cell r="B23">
            <v>1</v>
          </cell>
          <cell r="C23">
            <v>1</v>
          </cell>
          <cell r="D23">
            <v>1</v>
          </cell>
          <cell r="E23">
            <v>0</v>
          </cell>
          <cell r="F23">
            <v>0</v>
          </cell>
          <cell r="G23">
            <v>0</v>
          </cell>
        </row>
        <row r="24">
          <cell r="B24">
            <v>0</v>
          </cell>
          <cell r="C24">
            <v>0</v>
          </cell>
          <cell r="D24">
            <v>0</v>
          </cell>
          <cell r="E24">
            <v>0</v>
          </cell>
          <cell r="F24">
            <v>0</v>
          </cell>
          <cell r="G24">
            <v>0</v>
          </cell>
        </row>
        <row r="25">
          <cell r="B25">
            <v>2</v>
          </cell>
          <cell r="C25">
            <v>0</v>
          </cell>
          <cell r="D25">
            <v>0</v>
          </cell>
          <cell r="E25">
            <v>0</v>
          </cell>
          <cell r="F25">
            <v>0</v>
          </cell>
          <cell r="G25">
            <v>2</v>
          </cell>
        </row>
        <row r="26">
          <cell r="B26">
            <v>2</v>
          </cell>
          <cell r="C26">
            <v>1</v>
          </cell>
          <cell r="D26">
            <v>0</v>
          </cell>
          <cell r="E26">
            <v>1</v>
          </cell>
          <cell r="F26">
            <v>0</v>
          </cell>
          <cell r="G26">
            <v>1</v>
          </cell>
        </row>
        <row r="27">
          <cell r="B27">
            <v>6</v>
          </cell>
          <cell r="C27">
            <v>5</v>
          </cell>
          <cell r="D27">
            <v>4</v>
          </cell>
          <cell r="E27">
            <v>1</v>
          </cell>
          <cell r="F27">
            <v>0</v>
          </cell>
          <cell r="G27">
            <v>1</v>
          </cell>
        </row>
        <row r="28">
          <cell r="B28">
            <v>26</v>
          </cell>
          <cell r="C28">
            <v>25</v>
          </cell>
          <cell r="D28">
            <v>22</v>
          </cell>
          <cell r="E28">
            <v>3</v>
          </cell>
          <cell r="F28">
            <v>0</v>
          </cell>
          <cell r="G28">
            <v>1</v>
          </cell>
        </row>
        <row r="29">
          <cell r="B29">
            <v>43</v>
          </cell>
          <cell r="C29">
            <v>43</v>
          </cell>
          <cell r="D29">
            <v>39</v>
          </cell>
          <cell r="E29">
            <v>3</v>
          </cell>
          <cell r="F29">
            <v>1</v>
          </cell>
          <cell r="G29">
            <v>0</v>
          </cell>
        </row>
        <row r="30">
          <cell r="B30">
            <v>47</v>
          </cell>
          <cell r="C30">
            <v>47</v>
          </cell>
          <cell r="D30">
            <v>39</v>
          </cell>
          <cell r="E30">
            <v>8</v>
          </cell>
          <cell r="F30">
            <v>0</v>
          </cell>
          <cell r="G30">
            <v>0</v>
          </cell>
        </row>
        <row r="31">
          <cell r="B31">
            <v>47</v>
          </cell>
          <cell r="C31">
            <v>46</v>
          </cell>
          <cell r="D31">
            <v>39</v>
          </cell>
          <cell r="E31">
            <v>6</v>
          </cell>
          <cell r="F31">
            <v>1</v>
          </cell>
          <cell r="G31">
            <v>1</v>
          </cell>
        </row>
        <row r="32">
          <cell r="B32">
            <v>54</v>
          </cell>
          <cell r="C32">
            <v>54</v>
          </cell>
          <cell r="D32">
            <v>38</v>
          </cell>
          <cell r="E32">
            <v>14</v>
          </cell>
          <cell r="F32">
            <v>2</v>
          </cell>
          <cell r="G32">
            <v>0</v>
          </cell>
        </row>
        <row r="33">
          <cell r="B33">
            <v>59</v>
          </cell>
          <cell r="C33">
            <v>59</v>
          </cell>
          <cell r="D33">
            <v>37</v>
          </cell>
          <cell r="E33">
            <v>20</v>
          </cell>
          <cell r="F33">
            <v>2</v>
          </cell>
          <cell r="G33">
            <v>0</v>
          </cell>
        </row>
        <row r="34">
          <cell r="B34">
            <v>602</v>
          </cell>
          <cell r="C34">
            <v>600</v>
          </cell>
          <cell r="D34">
            <v>36</v>
          </cell>
          <cell r="E34">
            <v>558</v>
          </cell>
          <cell r="F34">
            <v>6</v>
          </cell>
          <cell r="G34">
            <v>2</v>
          </cell>
        </row>
        <row r="35">
          <cell r="B35">
            <v>276</v>
          </cell>
          <cell r="C35">
            <v>276</v>
          </cell>
          <cell r="D35">
            <v>24</v>
          </cell>
          <cell r="E35">
            <v>249</v>
          </cell>
          <cell r="F35">
            <v>3</v>
          </cell>
          <cell r="G35">
            <v>0</v>
          </cell>
        </row>
        <row r="36">
          <cell r="B36">
            <v>393</v>
          </cell>
          <cell r="C36">
            <v>392</v>
          </cell>
          <cell r="D36">
            <v>15</v>
          </cell>
          <cell r="E36">
            <v>372</v>
          </cell>
          <cell r="F36">
            <v>5</v>
          </cell>
          <cell r="G36">
            <v>1</v>
          </cell>
        </row>
        <row r="37">
          <cell r="B37">
            <v>380</v>
          </cell>
          <cell r="C37">
            <v>380</v>
          </cell>
          <cell r="D37">
            <v>14</v>
          </cell>
          <cell r="E37">
            <v>364</v>
          </cell>
          <cell r="F37">
            <v>2</v>
          </cell>
          <cell r="G37">
            <v>0</v>
          </cell>
        </row>
        <row r="38">
          <cell r="B38">
            <v>431</v>
          </cell>
          <cell r="C38">
            <v>431</v>
          </cell>
          <cell r="D38">
            <v>10</v>
          </cell>
          <cell r="E38">
            <v>420</v>
          </cell>
          <cell r="F38">
            <v>1</v>
          </cell>
          <cell r="G38">
            <v>0</v>
          </cell>
        </row>
        <row r="39">
          <cell r="B39">
            <v>523</v>
          </cell>
          <cell r="C39">
            <v>523</v>
          </cell>
          <cell r="D39">
            <v>4</v>
          </cell>
          <cell r="E39">
            <v>518</v>
          </cell>
          <cell r="F39">
            <v>1</v>
          </cell>
          <cell r="G39">
            <v>0</v>
          </cell>
        </row>
        <row r="40">
          <cell r="B40">
            <v>416</v>
          </cell>
          <cell r="C40">
            <v>416</v>
          </cell>
          <cell r="D40">
            <v>1</v>
          </cell>
          <cell r="E40">
            <v>412</v>
          </cell>
          <cell r="F40">
            <v>3</v>
          </cell>
          <cell r="G40">
            <v>0</v>
          </cell>
        </row>
        <row r="41">
          <cell r="B41">
            <v>371</v>
          </cell>
          <cell r="C41">
            <v>371</v>
          </cell>
          <cell r="D41">
            <v>1</v>
          </cell>
          <cell r="E41">
            <v>369</v>
          </cell>
          <cell r="F41">
            <v>1</v>
          </cell>
          <cell r="G41">
            <v>0</v>
          </cell>
        </row>
        <row r="42">
          <cell r="B42">
            <v>341</v>
          </cell>
          <cell r="C42">
            <v>341</v>
          </cell>
          <cell r="D42">
            <v>3</v>
          </cell>
          <cell r="E42">
            <v>337</v>
          </cell>
          <cell r="F42">
            <v>1</v>
          </cell>
          <cell r="G42">
            <v>0</v>
          </cell>
        </row>
        <row r="43">
          <cell r="B43">
            <v>416</v>
          </cell>
          <cell r="C43">
            <v>416</v>
          </cell>
          <cell r="D43">
            <v>4</v>
          </cell>
          <cell r="E43">
            <v>411</v>
          </cell>
          <cell r="F43">
            <v>1</v>
          </cell>
          <cell r="G43">
            <v>0</v>
          </cell>
        </row>
        <row r="44">
          <cell r="B44">
            <v>577</v>
          </cell>
          <cell r="C44">
            <v>577</v>
          </cell>
          <cell r="D44">
            <v>11</v>
          </cell>
          <cell r="E44">
            <v>563</v>
          </cell>
          <cell r="F44">
            <v>3</v>
          </cell>
          <cell r="G44">
            <v>0</v>
          </cell>
        </row>
        <row r="45">
          <cell r="B45">
            <v>282</v>
          </cell>
          <cell r="C45">
            <v>282</v>
          </cell>
          <cell r="D45">
            <v>4</v>
          </cell>
          <cell r="E45">
            <v>278</v>
          </cell>
          <cell r="F45">
            <v>0</v>
          </cell>
          <cell r="G45">
            <v>0</v>
          </cell>
        </row>
        <row r="46">
          <cell r="B46">
            <v>236</v>
          </cell>
          <cell r="C46">
            <v>236</v>
          </cell>
          <cell r="D46">
            <v>3</v>
          </cell>
          <cell r="E46">
            <v>233</v>
          </cell>
          <cell r="F46">
            <v>0</v>
          </cell>
          <cell r="G46">
            <v>0</v>
          </cell>
        </row>
        <row r="47">
          <cell r="B47">
            <v>223</v>
          </cell>
          <cell r="C47">
            <v>223</v>
          </cell>
          <cell r="D47">
            <v>6</v>
          </cell>
          <cell r="E47">
            <v>217</v>
          </cell>
          <cell r="F47">
            <v>0</v>
          </cell>
          <cell r="G47">
            <v>0</v>
          </cell>
        </row>
        <row r="48">
          <cell r="B48">
            <v>313</v>
          </cell>
          <cell r="C48">
            <v>313</v>
          </cell>
          <cell r="D48">
            <v>3</v>
          </cell>
          <cell r="E48">
            <v>309</v>
          </cell>
          <cell r="F48">
            <v>1</v>
          </cell>
          <cell r="G48">
            <v>0</v>
          </cell>
        </row>
        <row r="49">
          <cell r="B49">
            <v>1204</v>
          </cell>
          <cell r="C49">
            <v>1204</v>
          </cell>
          <cell r="D49">
            <v>34</v>
          </cell>
          <cell r="E49">
            <v>1163</v>
          </cell>
          <cell r="F49">
            <v>7</v>
          </cell>
          <cell r="G49">
            <v>0</v>
          </cell>
        </row>
        <row r="50">
          <cell r="B50">
            <v>26</v>
          </cell>
          <cell r="C50">
            <v>26</v>
          </cell>
          <cell r="D50">
            <v>0</v>
          </cell>
          <cell r="E50">
            <v>22</v>
          </cell>
          <cell r="F50">
            <v>4</v>
          </cell>
          <cell r="G50">
            <v>0</v>
          </cell>
        </row>
      </sheetData>
      <sheetData sheetId="17">
        <row r="5">
          <cell r="B5">
            <v>3972</v>
          </cell>
          <cell r="C5">
            <v>3962</v>
          </cell>
          <cell r="D5">
            <v>87</v>
          </cell>
          <cell r="E5">
            <v>3852</v>
          </cell>
          <cell r="F5">
            <v>23</v>
          </cell>
          <cell r="G5">
            <v>10</v>
          </cell>
        </row>
        <row r="6">
          <cell r="B6">
            <v>1531</v>
          </cell>
          <cell r="C6">
            <v>1529</v>
          </cell>
          <cell r="D6">
            <v>45</v>
          </cell>
          <cell r="E6">
            <v>1474</v>
          </cell>
          <cell r="F6">
            <v>10</v>
          </cell>
          <cell r="G6">
            <v>2</v>
          </cell>
        </row>
        <row r="7">
          <cell r="B7">
            <v>2441</v>
          </cell>
          <cell r="C7">
            <v>2433</v>
          </cell>
          <cell r="D7">
            <v>42</v>
          </cell>
          <cell r="E7">
            <v>2378</v>
          </cell>
          <cell r="F7">
            <v>13</v>
          </cell>
          <cell r="G7">
            <v>8</v>
          </cell>
        </row>
        <row r="8">
          <cell r="B8">
            <v>0</v>
          </cell>
          <cell r="C8">
            <v>0</v>
          </cell>
          <cell r="D8">
            <v>0</v>
          </cell>
          <cell r="E8">
            <v>0</v>
          </cell>
          <cell r="F8">
            <v>0</v>
          </cell>
          <cell r="G8">
            <v>0</v>
          </cell>
        </row>
        <row r="9">
          <cell r="B9">
            <v>0</v>
          </cell>
          <cell r="C9">
            <v>0</v>
          </cell>
          <cell r="D9">
            <v>0</v>
          </cell>
          <cell r="E9">
            <v>0</v>
          </cell>
          <cell r="F9">
            <v>0</v>
          </cell>
          <cell r="G9">
            <v>0</v>
          </cell>
        </row>
        <row r="10">
          <cell r="B10">
            <v>0</v>
          </cell>
          <cell r="C10">
            <v>0</v>
          </cell>
          <cell r="D10">
            <v>0</v>
          </cell>
          <cell r="E10">
            <v>0</v>
          </cell>
          <cell r="F10">
            <v>0</v>
          </cell>
          <cell r="G10">
            <v>0</v>
          </cell>
        </row>
        <row r="11">
          <cell r="B11">
            <v>0</v>
          </cell>
          <cell r="C11">
            <v>0</v>
          </cell>
          <cell r="D11">
            <v>0</v>
          </cell>
          <cell r="E11">
            <v>0</v>
          </cell>
          <cell r="F11">
            <v>0</v>
          </cell>
          <cell r="G11">
            <v>0</v>
          </cell>
        </row>
        <row r="12">
          <cell r="B12">
            <v>0</v>
          </cell>
          <cell r="C12">
            <v>0</v>
          </cell>
          <cell r="D12">
            <v>0</v>
          </cell>
          <cell r="E12">
            <v>0</v>
          </cell>
          <cell r="F12">
            <v>0</v>
          </cell>
          <cell r="G12">
            <v>0</v>
          </cell>
        </row>
        <row r="13">
          <cell r="B13">
            <v>0</v>
          </cell>
          <cell r="C13">
            <v>0</v>
          </cell>
          <cell r="D13">
            <v>0</v>
          </cell>
          <cell r="E13">
            <v>0</v>
          </cell>
          <cell r="F13">
            <v>0</v>
          </cell>
          <cell r="G13">
            <v>0</v>
          </cell>
        </row>
        <row r="14">
          <cell r="B14">
            <v>0</v>
          </cell>
          <cell r="C14">
            <v>0</v>
          </cell>
          <cell r="D14">
            <v>0</v>
          </cell>
          <cell r="E14">
            <v>0</v>
          </cell>
          <cell r="F14">
            <v>0</v>
          </cell>
          <cell r="G14">
            <v>0</v>
          </cell>
        </row>
        <row r="15">
          <cell r="B15">
            <v>0</v>
          </cell>
          <cell r="C15">
            <v>0</v>
          </cell>
          <cell r="D15">
            <v>0</v>
          </cell>
          <cell r="E15">
            <v>0</v>
          </cell>
          <cell r="F15">
            <v>0</v>
          </cell>
          <cell r="G15">
            <v>0</v>
          </cell>
        </row>
        <row r="16">
          <cell r="B16">
            <v>0</v>
          </cell>
          <cell r="C16">
            <v>0</v>
          </cell>
          <cell r="D16">
            <v>0</v>
          </cell>
          <cell r="E16">
            <v>0</v>
          </cell>
          <cell r="F16">
            <v>0</v>
          </cell>
          <cell r="G16">
            <v>0</v>
          </cell>
        </row>
        <row r="17">
          <cell r="B17">
            <v>0</v>
          </cell>
          <cell r="C17">
            <v>0</v>
          </cell>
          <cell r="D17">
            <v>0</v>
          </cell>
          <cell r="E17">
            <v>0</v>
          </cell>
          <cell r="F17">
            <v>0</v>
          </cell>
          <cell r="G17">
            <v>0</v>
          </cell>
        </row>
        <row r="18">
          <cell r="B18">
            <v>0</v>
          </cell>
          <cell r="C18">
            <v>0</v>
          </cell>
          <cell r="D18">
            <v>0</v>
          </cell>
          <cell r="E18">
            <v>0</v>
          </cell>
          <cell r="F18">
            <v>0</v>
          </cell>
          <cell r="G18">
            <v>0</v>
          </cell>
        </row>
        <row r="19">
          <cell r="B19">
            <v>0</v>
          </cell>
          <cell r="C19">
            <v>0</v>
          </cell>
          <cell r="D19">
            <v>0</v>
          </cell>
          <cell r="E19">
            <v>0</v>
          </cell>
          <cell r="F19">
            <v>0</v>
          </cell>
          <cell r="G19">
            <v>0</v>
          </cell>
        </row>
        <row r="20">
          <cell r="B20">
            <v>0</v>
          </cell>
          <cell r="C20">
            <v>0</v>
          </cell>
          <cell r="D20">
            <v>0</v>
          </cell>
          <cell r="E20">
            <v>0</v>
          </cell>
          <cell r="F20">
            <v>0</v>
          </cell>
          <cell r="G20">
            <v>0</v>
          </cell>
        </row>
        <row r="21">
          <cell r="B21">
            <v>0</v>
          </cell>
          <cell r="C21">
            <v>0</v>
          </cell>
          <cell r="D21">
            <v>0</v>
          </cell>
          <cell r="E21">
            <v>0</v>
          </cell>
          <cell r="F21">
            <v>0</v>
          </cell>
          <cell r="G21">
            <v>0</v>
          </cell>
        </row>
        <row r="22">
          <cell r="B22">
            <v>1</v>
          </cell>
          <cell r="C22">
            <v>0</v>
          </cell>
          <cell r="D22">
            <v>0</v>
          </cell>
          <cell r="E22">
            <v>0</v>
          </cell>
          <cell r="F22">
            <v>0</v>
          </cell>
          <cell r="G22">
            <v>1</v>
          </cell>
        </row>
        <row r="23">
          <cell r="B23">
            <v>0</v>
          </cell>
          <cell r="C23">
            <v>0</v>
          </cell>
          <cell r="D23">
            <v>0</v>
          </cell>
          <cell r="E23">
            <v>0</v>
          </cell>
          <cell r="F23">
            <v>0</v>
          </cell>
          <cell r="G23">
            <v>0</v>
          </cell>
        </row>
        <row r="24">
          <cell r="B24">
            <v>1</v>
          </cell>
          <cell r="C24">
            <v>0</v>
          </cell>
          <cell r="D24">
            <v>0</v>
          </cell>
          <cell r="E24">
            <v>0</v>
          </cell>
          <cell r="F24">
            <v>0</v>
          </cell>
          <cell r="G24">
            <v>1</v>
          </cell>
        </row>
        <row r="25">
          <cell r="B25">
            <v>0</v>
          </cell>
          <cell r="C25">
            <v>0</v>
          </cell>
          <cell r="D25">
            <v>0</v>
          </cell>
          <cell r="E25">
            <v>0</v>
          </cell>
          <cell r="F25">
            <v>0</v>
          </cell>
          <cell r="G25">
            <v>0</v>
          </cell>
        </row>
        <row r="26">
          <cell r="B26">
            <v>4</v>
          </cell>
          <cell r="C26">
            <v>2</v>
          </cell>
          <cell r="D26">
            <v>1</v>
          </cell>
          <cell r="E26">
            <v>1</v>
          </cell>
          <cell r="F26">
            <v>0</v>
          </cell>
          <cell r="G26">
            <v>2</v>
          </cell>
        </row>
        <row r="27">
          <cell r="B27">
            <v>0</v>
          </cell>
          <cell r="C27">
            <v>0</v>
          </cell>
          <cell r="D27">
            <v>0</v>
          </cell>
          <cell r="E27">
            <v>0</v>
          </cell>
          <cell r="F27">
            <v>0</v>
          </cell>
          <cell r="G27">
            <v>0</v>
          </cell>
        </row>
        <row r="28">
          <cell r="B28">
            <v>1</v>
          </cell>
          <cell r="C28">
            <v>0</v>
          </cell>
          <cell r="D28">
            <v>0</v>
          </cell>
          <cell r="E28">
            <v>0</v>
          </cell>
          <cell r="F28">
            <v>0</v>
          </cell>
          <cell r="G28">
            <v>1</v>
          </cell>
        </row>
        <row r="29">
          <cell r="B29">
            <v>2</v>
          </cell>
          <cell r="C29">
            <v>2</v>
          </cell>
          <cell r="D29">
            <v>1</v>
          </cell>
          <cell r="E29">
            <v>1</v>
          </cell>
          <cell r="F29">
            <v>0</v>
          </cell>
          <cell r="G29">
            <v>0</v>
          </cell>
        </row>
        <row r="30">
          <cell r="B30">
            <v>9</v>
          </cell>
          <cell r="C30">
            <v>8</v>
          </cell>
          <cell r="D30">
            <v>3</v>
          </cell>
          <cell r="E30">
            <v>5</v>
          </cell>
          <cell r="F30">
            <v>0</v>
          </cell>
          <cell r="G30">
            <v>1</v>
          </cell>
        </row>
        <row r="31">
          <cell r="B31">
            <v>16</v>
          </cell>
          <cell r="C31">
            <v>16</v>
          </cell>
          <cell r="D31">
            <v>10</v>
          </cell>
          <cell r="E31">
            <v>4</v>
          </cell>
          <cell r="F31">
            <v>2</v>
          </cell>
          <cell r="G31">
            <v>0</v>
          </cell>
        </row>
        <row r="32">
          <cell r="B32">
            <v>22</v>
          </cell>
          <cell r="C32">
            <v>22</v>
          </cell>
          <cell r="D32">
            <v>11</v>
          </cell>
          <cell r="E32">
            <v>11</v>
          </cell>
          <cell r="F32">
            <v>0</v>
          </cell>
          <cell r="G32">
            <v>0</v>
          </cell>
        </row>
        <row r="33">
          <cell r="B33">
            <v>15</v>
          </cell>
          <cell r="C33">
            <v>14</v>
          </cell>
          <cell r="D33">
            <v>5</v>
          </cell>
          <cell r="E33">
            <v>8</v>
          </cell>
          <cell r="F33">
            <v>1</v>
          </cell>
          <cell r="G33">
            <v>1</v>
          </cell>
        </row>
        <row r="34">
          <cell r="B34">
            <v>930</v>
          </cell>
          <cell r="C34">
            <v>928</v>
          </cell>
          <cell r="D34">
            <v>9</v>
          </cell>
          <cell r="E34">
            <v>910</v>
          </cell>
          <cell r="F34">
            <v>9</v>
          </cell>
          <cell r="G34">
            <v>2</v>
          </cell>
        </row>
        <row r="35">
          <cell r="B35">
            <v>425</v>
          </cell>
          <cell r="C35">
            <v>425</v>
          </cell>
          <cell r="D35">
            <v>3</v>
          </cell>
          <cell r="E35">
            <v>420</v>
          </cell>
          <cell r="F35">
            <v>2</v>
          </cell>
          <cell r="G35">
            <v>0</v>
          </cell>
        </row>
        <row r="36">
          <cell r="B36">
            <v>352</v>
          </cell>
          <cell r="C36">
            <v>351</v>
          </cell>
          <cell r="D36">
            <v>3</v>
          </cell>
          <cell r="E36">
            <v>346</v>
          </cell>
          <cell r="F36">
            <v>2</v>
          </cell>
          <cell r="G36">
            <v>1</v>
          </cell>
        </row>
        <row r="37">
          <cell r="B37">
            <v>268</v>
          </cell>
          <cell r="C37">
            <v>268</v>
          </cell>
          <cell r="D37">
            <v>2</v>
          </cell>
          <cell r="E37">
            <v>266</v>
          </cell>
          <cell r="F37">
            <v>0</v>
          </cell>
          <cell r="G37">
            <v>0</v>
          </cell>
        </row>
        <row r="38">
          <cell r="B38">
            <v>280</v>
          </cell>
          <cell r="C38">
            <v>280</v>
          </cell>
          <cell r="D38">
            <v>1</v>
          </cell>
          <cell r="E38">
            <v>279</v>
          </cell>
          <cell r="F38">
            <v>0</v>
          </cell>
          <cell r="G38">
            <v>0</v>
          </cell>
        </row>
        <row r="39">
          <cell r="B39">
            <v>265</v>
          </cell>
          <cell r="C39">
            <v>265</v>
          </cell>
          <cell r="D39">
            <v>2</v>
          </cell>
          <cell r="E39">
            <v>263</v>
          </cell>
          <cell r="F39">
            <v>0</v>
          </cell>
          <cell r="G39">
            <v>0</v>
          </cell>
        </row>
        <row r="40">
          <cell r="B40">
            <v>101</v>
          </cell>
          <cell r="C40">
            <v>101</v>
          </cell>
          <cell r="D40">
            <v>0</v>
          </cell>
          <cell r="E40">
            <v>101</v>
          </cell>
          <cell r="F40">
            <v>0</v>
          </cell>
          <cell r="G40">
            <v>0</v>
          </cell>
        </row>
        <row r="41">
          <cell r="B41">
            <v>83</v>
          </cell>
          <cell r="C41">
            <v>83</v>
          </cell>
          <cell r="D41">
            <v>2</v>
          </cell>
          <cell r="E41">
            <v>81</v>
          </cell>
          <cell r="F41">
            <v>0</v>
          </cell>
          <cell r="G41">
            <v>0</v>
          </cell>
        </row>
        <row r="42">
          <cell r="B42">
            <v>93</v>
          </cell>
          <cell r="C42">
            <v>93</v>
          </cell>
          <cell r="D42">
            <v>2</v>
          </cell>
          <cell r="E42">
            <v>90</v>
          </cell>
          <cell r="F42">
            <v>1</v>
          </cell>
          <cell r="G42">
            <v>0</v>
          </cell>
        </row>
        <row r="43">
          <cell r="B43">
            <v>98</v>
          </cell>
          <cell r="C43">
            <v>98</v>
          </cell>
          <cell r="D43">
            <v>2</v>
          </cell>
          <cell r="E43">
            <v>96</v>
          </cell>
          <cell r="F43">
            <v>0</v>
          </cell>
          <cell r="G43">
            <v>0</v>
          </cell>
        </row>
        <row r="44">
          <cell r="B44">
            <v>177</v>
          </cell>
          <cell r="C44">
            <v>177</v>
          </cell>
          <cell r="D44">
            <v>6</v>
          </cell>
          <cell r="E44">
            <v>171</v>
          </cell>
          <cell r="F44">
            <v>0</v>
          </cell>
          <cell r="G44">
            <v>0</v>
          </cell>
        </row>
        <row r="45">
          <cell r="B45">
            <v>93</v>
          </cell>
          <cell r="C45">
            <v>93</v>
          </cell>
          <cell r="D45">
            <v>2</v>
          </cell>
          <cell r="E45">
            <v>91</v>
          </cell>
          <cell r="F45">
            <v>0</v>
          </cell>
          <cell r="G45">
            <v>0</v>
          </cell>
        </row>
        <row r="46">
          <cell r="B46">
            <v>76</v>
          </cell>
          <cell r="C46">
            <v>76</v>
          </cell>
          <cell r="D46">
            <v>1</v>
          </cell>
          <cell r="E46">
            <v>75</v>
          </cell>
          <cell r="F46">
            <v>0</v>
          </cell>
          <cell r="G46">
            <v>0</v>
          </cell>
        </row>
        <row r="47">
          <cell r="B47">
            <v>68</v>
          </cell>
          <cell r="C47">
            <v>68</v>
          </cell>
          <cell r="D47">
            <v>0</v>
          </cell>
          <cell r="E47">
            <v>68</v>
          </cell>
          <cell r="F47">
            <v>0</v>
          </cell>
          <cell r="G47">
            <v>0</v>
          </cell>
        </row>
        <row r="48">
          <cell r="B48">
            <v>114</v>
          </cell>
          <cell r="C48">
            <v>114</v>
          </cell>
          <cell r="D48">
            <v>4</v>
          </cell>
          <cell r="E48">
            <v>110</v>
          </cell>
          <cell r="F48">
            <v>0</v>
          </cell>
          <cell r="G48">
            <v>0</v>
          </cell>
        </row>
        <row r="49">
          <cell r="B49">
            <v>419</v>
          </cell>
          <cell r="C49">
            <v>419</v>
          </cell>
          <cell r="D49">
            <v>10</v>
          </cell>
          <cell r="E49">
            <v>404</v>
          </cell>
          <cell r="F49">
            <v>5</v>
          </cell>
          <cell r="G49">
            <v>0</v>
          </cell>
        </row>
        <row r="50">
          <cell r="B50">
            <v>59</v>
          </cell>
          <cell r="C50">
            <v>59</v>
          </cell>
          <cell r="D50">
            <v>7</v>
          </cell>
          <cell r="E50">
            <v>51</v>
          </cell>
          <cell r="F50">
            <v>1</v>
          </cell>
          <cell r="G50">
            <v>0</v>
          </cell>
        </row>
      </sheetData>
      <sheetData sheetId="18">
        <row r="5">
          <cell r="B5">
            <v>11478</v>
          </cell>
          <cell r="C5">
            <v>9463</v>
          </cell>
          <cell r="D5">
            <v>2015</v>
          </cell>
        </row>
        <row r="6">
          <cell r="B6">
            <v>10187</v>
          </cell>
          <cell r="C6">
            <v>8396</v>
          </cell>
          <cell r="D6">
            <v>1791</v>
          </cell>
        </row>
        <row r="7">
          <cell r="B7">
            <v>1291</v>
          </cell>
          <cell r="C7">
            <v>1067</v>
          </cell>
          <cell r="D7">
            <v>224</v>
          </cell>
        </row>
        <row r="8">
          <cell r="B8">
            <v>1257</v>
          </cell>
          <cell r="C8">
            <v>1257</v>
          </cell>
          <cell r="D8">
            <v>0</v>
          </cell>
        </row>
        <row r="9">
          <cell r="B9">
            <v>1284</v>
          </cell>
          <cell r="C9">
            <v>1284</v>
          </cell>
          <cell r="D9">
            <v>0</v>
          </cell>
        </row>
        <row r="10">
          <cell r="B10">
            <v>828</v>
          </cell>
          <cell r="C10">
            <v>828</v>
          </cell>
          <cell r="D10">
            <v>0</v>
          </cell>
        </row>
        <row r="11">
          <cell r="B11">
            <v>845</v>
          </cell>
          <cell r="C11">
            <v>845</v>
          </cell>
          <cell r="D11">
            <v>0</v>
          </cell>
        </row>
        <row r="12">
          <cell r="B12">
            <v>1639</v>
          </cell>
          <cell r="C12">
            <v>1639</v>
          </cell>
          <cell r="D12">
            <v>0</v>
          </cell>
        </row>
        <row r="13">
          <cell r="B13">
            <v>1174</v>
          </cell>
          <cell r="C13">
            <v>1174</v>
          </cell>
          <cell r="D13">
            <v>0</v>
          </cell>
        </row>
        <row r="14">
          <cell r="B14">
            <v>692</v>
          </cell>
          <cell r="C14">
            <v>692</v>
          </cell>
          <cell r="D14">
            <v>0</v>
          </cell>
        </row>
        <row r="15">
          <cell r="B15">
            <v>431</v>
          </cell>
          <cell r="C15">
            <v>431</v>
          </cell>
          <cell r="D15">
            <v>0</v>
          </cell>
        </row>
        <row r="16">
          <cell r="B16">
            <v>266</v>
          </cell>
          <cell r="C16">
            <v>266</v>
          </cell>
          <cell r="D16">
            <v>0</v>
          </cell>
        </row>
        <row r="17">
          <cell r="B17">
            <v>225</v>
          </cell>
          <cell r="C17">
            <v>225</v>
          </cell>
          <cell r="D17">
            <v>0</v>
          </cell>
        </row>
        <row r="18">
          <cell r="B18">
            <v>190</v>
          </cell>
          <cell r="C18">
            <v>190</v>
          </cell>
          <cell r="D18">
            <v>0</v>
          </cell>
        </row>
        <row r="19">
          <cell r="B19">
            <v>148</v>
          </cell>
          <cell r="C19">
            <v>148</v>
          </cell>
          <cell r="D19">
            <v>0</v>
          </cell>
        </row>
        <row r="20">
          <cell r="B20">
            <v>127</v>
          </cell>
          <cell r="C20">
            <v>127</v>
          </cell>
          <cell r="D20">
            <v>0</v>
          </cell>
        </row>
        <row r="21">
          <cell r="B21">
            <v>86</v>
          </cell>
          <cell r="C21">
            <v>86</v>
          </cell>
          <cell r="D21">
            <v>0</v>
          </cell>
        </row>
        <row r="22">
          <cell r="B22">
            <v>76</v>
          </cell>
          <cell r="C22">
            <v>76</v>
          </cell>
          <cell r="D22">
            <v>0</v>
          </cell>
        </row>
        <row r="23">
          <cell r="B23">
            <v>83</v>
          </cell>
          <cell r="C23">
            <v>70</v>
          </cell>
          <cell r="D23">
            <v>13</v>
          </cell>
        </row>
        <row r="24">
          <cell r="B24">
            <v>212</v>
          </cell>
          <cell r="C24">
            <v>28</v>
          </cell>
          <cell r="D24">
            <v>184</v>
          </cell>
        </row>
        <row r="25">
          <cell r="B25">
            <v>290</v>
          </cell>
          <cell r="C25">
            <v>32</v>
          </cell>
          <cell r="D25">
            <v>258</v>
          </cell>
        </row>
        <row r="26">
          <cell r="B26">
            <v>297</v>
          </cell>
          <cell r="C26">
            <v>27</v>
          </cell>
          <cell r="D26">
            <v>270</v>
          </cell>
        </row>
        <row r="27">
          <cell r="B27">
            <v>312</v>
          </cell>
          <cell r="C27">
            <v>19</v>
          </cell>
          <cell r="D27">
            <v>293</v>
          </cell>
        </row>
        <row r="28">
          <cell r="B28">
            <v>241</v>
          </cell>
          <cell r="C28">
            <v>8</v>
          </cell>
          <cell r="D28">
            <v>233</v>
          </cell>
        </row>
        <row r="29">
          <cell r="B29">
            <v>200</v>
          </cell>
          <cell r="C29">
            <v>4</v>
          </cell>
          <cell r="D29">
            <v>196</v>
          </cell>
        </row>
        <row r="30">
          <cell r="B30">
            <v>134</v>
          </cell>
          <cell r="C30">
            <v>4</v>
          </cell>
          <cell r="D30">
            <v>130</v>
          </cell>
        </row>
        <row r="31">
          <cell r="B31">
            <v>70</v>
          </cell>
          <cell r="C31">
            <v>1</v>
          </cell>
          <cell r="D31">
            <v>69</v>
          </cell>
        </row>
        <row r="32">
          <cell r="B32">
            <v>64</v>
          </cell>
          <cell r="C32">
            <v>0</v>
          </cell>
          <cell r="D32">
            <v>64</v>
          </cell>
        </row>
        <row r="33">
          <cell r="B33">
            <v>46</v>
          </cell>
          <cell r="C33">
            <v>0</v>
          </cell>
          <cell r="D33">
            <v>46</v>
          </cell>
        </row>
        <row r="34">
          <cell r="B34">
            <v>30</v>
          </cell>
          <cell r="C34">
            <v>1</v>
          </cell>
          <cell r="D34">
            <v>29</v>
          </cell>
        </row>
        <row r="35">
          <cell r="B35">
            <v>39</v>
          </cell>
          <cell r="C35">
            <v>0</v>
          </cell>
          <cell r="D35">
            <v>39</v>
          </cell>
        </row>
        <row r="36">
          <cell r="B36">
            <v>46</v>
          </cell>
          <cell r="C36">
            <v>0</v>
          </cell>
          <cell r="D36">
            <v>46</v>
          </cell>
        </row>
        <row r="37">
          <cell r="B37">
            <v>32</v>
          </cell>
          <cell r="C37">
            <v>0</v>
          </cell>
          <cell r="D37">
            <v>32</v>
          </cell>
        </row>
        <row r="38">
          <cell r="B38">
            <v>42</v>
          </cell>
          <cell r="C38">
            <v>0</v>
          </cell>
          <cell r="D38">
            <v>42</v>
          </cell>
        </row>
        <row r="39">
          <cell r="B39">
            <v>11</v>
          </cell>
          <cell r="C39">
            <v>0</v>
          </cell>
          <cell r="D39">
            <v>11</v>
          </cell>
        </row>
        <row r="40">
          <cell r="B40">
            <v>6</v>
          </cell>
          <cell r="C40">
            <v>0</v>
          </cell>
          <cell r="D40">
            <v>6</v>
          </cell>
        </row>
        <row r="41">
          <cell r="B41">
            <v>5</v>
          </cell>
          <cell r="C41">
            <v>0</v>
          </cell>
          <cell r="D41">
            <v>5</v>
          </cell>
        </row>
        <row r="42">
          <cell r="B42">
            <v>7</v>
          </cell>
          <cell r="C42">
            <v>0</v>
          </cell>
          <cell r="D42">
            <v>7</v>
          </cell>
        </row>
        <row r="43">
          <cell r="B43">
            <v>12</v>
          </cell>
          <cell r="C43">
            <v>0</v>
          </cell>
          <cell r="D43">
            <v>12</v>
          </cell>
        </row>
        <row r="44">
          <cell r="B44">
            <v>23</v>
          </cell>
          <cell r="C44">
            <v>1</v>
          </cell>
          <cell r="D44">
            <v>22</v>
          </cell>
        </row>
        <row r="45">
          <cell r="B45">
            <v>2</v>
          </cell>
          <cell r="C45">
            <v>0</v>
          </cell>
          <cell r="D45">
            <v>2</v>
          </cell>
        </row>
        <row r="46">
          <cell r="B46">
            <v>4</v>
          </cell>
          <cell r="C46">
            <v>0</v>
          </cell>
          <cell r="D46">
            <v>4</v>
          </cell>
        </row>
        <row r="47">
          <cell r="B47">
            <v>0</v>
          </cell>
          <cell r="C47">
            <v>0</v>
          </cell>
          <cell r="D47">
            <v>0</v>
          </cell>
        </row>
        <row r="48">
          <cell r="B48">
            <v>0</v>
          </cell>
          <cell r="C48">
            <v>0</v>
          </cell>
          <cell r="D48">
            <v>0</v>
          </cell>
        </row>
        <row r="49">
          <cell r="B49">
            <v>0</v>
          </cell>
          <cell r="C49">
            <v>0</v>
          </cell>
          <cell r="D49">
            <v>0</v>
          </cell>
        </row>
        <row r="50">
          <cell r="B50">
            <v>2</v>
          </cell>
          <cell r="C50">
            <v>0</v>
          </cell>
          <cell r="D50">
            <v>2</v>
          </cell>
        </row>
        <row r="51">
          <cell r="B51">
            <v>0</v>
          </cell>
          <cell r="C51">
            <v>0</v>
          </cell>
          <cell r="D51">
            <v>0</v>
          </cell>
        </row>
        <row r="52">
          <cell r="B52">
            <v>0</v>
          </cell>
          <cell r="C52">
            <v>0</v>
          </cell>
          <cell r="D52">
            <v>0</v>
          </cell>
        </row>
      </sheetData>
      <sheetData sheetId="19">
        <row r="5">
          <cell r="B5">
            <v>382</v>
          </cell>
          <cell r="C5">
            <v>352</v>
          </cell>
          <cell r="D5">
            <v>80</v>
          </cell>
          <cell r="E5">
            <v>272</v>
          </cell>
          <cell r="F5">
            <v>30</v>
          </cell>
          <cell r="G5">
            <v>1</v>
          </cell>
          <cell r="H5">
            <v>29</v>
          </cell>
        </row>
        <row r="6">
          <cell r="B6">
            <v>273</v>
          </cell>
          <cell r="C6">
            <v>247</v>
          </cell>
          <cell r="D6">
            <v>47</v>
          </cell>
          <cell r="E6">
            <v>200</v>
          </cell>
          <cell r="F6">
            <v>26</v>
          </cell>
          <cell r="G6">
            <v>1</v>
          </cell>
          <cell r="H6">
            <v>25</v>
          </cell>
        </row>
        <row r="7">
          <cell r="B7">
            <v>109</v>
          </cell>
          <cell r="C7">
            <v>105</v>
          </cell>
          <cell r="D7">
            <v>33</v>
          </cell>
          <cell r="E7">
            <v>72</v>
          </cell>
          <cell r="F7">
            <v>4</v>
          </cell>
          <cell r="G7">
            <v>0</v>
          </cell>
          <cell r="H7">
            <v>4</v>
          </cell>
        </row>
        <row r="8">
          <cell r="B8">
            <v>44</v>
          </cell>
          <cell r="C8">
            <v>37</v>
          </cell>
          <cell r="D8">
            <v>2</v>
          </cell>
          <cell r="E8">
            <v>35</v>
          </cell>
          <cell r="F8">
            <v>7</v>
          </cell>
          <cell r="G8">
            <v>0</v>
          </cell>
          <cell r="H8">
            <v>7</v>
          </cell>
        </row>
        <row r="9">
          <cell r="B9">
            <v>16</v>
          </cell>
          <cell r="C9">
            <v>14</v>
          </cell>
          <cell r="D9">
            <v>5</v>
          </cell>
          <cell r="E9">
            <v>9</v>
          </cell>
          <cell r="F9">
            <v>2</v>
          </cell>
          <cell r="G9">
            <v>0</v>
          </cell>
          <cell r="H9">
            <v>2</v>
          </cell>
        </row>
        <row r="10">
          <cell r="B10">
            <v>16</v>
          </cell>
          <cell r="C10">
            <v>13</v>
          </cell>
          <cell r="D10">
            <v>8</v>
          </cell>
          <cell r="E10">
            <v>5</v>
          </cell>
          <cell r="F10">
            <v>3</v>
          </cell>
          <cell r="G10">
            <v>0</v>
          </cell>
          <cell r="H10">
            <v>3</v>
          </cell>
        </row>
        <row r="11">
          <cell r="B11">
            <v>32</v>
          </cell>
          <cell r="C11">
            <v>25</v>
          </cell>
          <cell r="D11">
            <v>20</v>
          </cell>
          <cell r="E11">
            <v>5</v>
          </cell>
          <cell r="F11">
            <v>7</v>
          </cell>
          <cell r="G11">
            <v>0</v>
          </cell>
          <cell r="H11">
            <v>7</v>
          </cell>
        </row>
        <row r="12">
          <cell r="B12">
            <v>50</v>
          </cell>
          <cell r="C12">
            <v>47</v>
          </cell>
          <cell r="D12">
            <v>17</v>
          </cell>
          <cell r="E12">
            <v>30</v>
          </cell>
          <cell r="F12">
            <v>3</v>
          </cell>
          <cell r="G12">
            <v>0</v>
          </cell>
          <cell r="H12">
            <v>3</v>
          </cell>
        </row>
        <row r="13">
          <cell r="B13">
            <v>72</v>
          </cell>
          <cell r="C13">
            <v>71</v>
          </cell>
          <cell r="D13">
            <v>14</v>
          </cell>
          <cell r="E13">
            <v>57</v>
          </cell>
          <cell r="F13">
            <v>1</v>
          </cell>
          <cell r="G13">
            <v>0</v>
          </cell>
          <cell r="H13">
            <v>1</v>
          </cell>
        </row>
        <row r="14">
          <cell r="B14">
            <v>86</v>
          </cell>
          <cell r="C14">
            <v>81</v>
          </cell>
          <cell r="D14">
            <v>6</v>
          </cell>
          <cell r="E14">
            <v>75</v>
          </cell>
          <cell r="F14">
            <v>5</v>
          </cell>
          <cell r="G14">
            <v>1</v>
          </cell>
          <cell r="H14">
            <v>4</v>
          </cell>
        </row>
        <row r="15">
          <cell r="B15">
            <v>43</v>
          </cell>
          <cell r="C15">
            <v>42</v>
          </cell>
          <cell r="D15">
            <v>4</v>
          </cell>
          <cell r="E15">
            <v>38</v>
          </cell>
          <cell r="F15">
            <v>1</v>
          </cell>
          <cell r="G15">
            <v>0</v>
          </cell>
          <cell r="H15">
            <v>1</v>
          </cell>
        </row>
        <row r="16">
          <cell r="B16">
            <v>21</v>
          </cell>
          <cell r="C16">
            <v>20</v>
          </cell>
          <cell r="D16">
            <v>4</v>
          </cell>
          <cell r="E16">
            <v>16</v>
          </cell>
          <cell r="F16">
            <v>1</v>
          </cell>
          <cell r="G16">
            <v>0</v>
          </cell>
          <cell r="H16">
            <v>1</v>
          </cell>
        </row>
        <row r="17">
          <cell r="B17">
            <v>2</v>
          </cell>
          <cell r="C17">
            <v>2</v>
          </cell>
          <cell r="D17">
            <v>0</v>
          </cell>
          <cell r="E17">
            <v>2</v>
          </cell>
          <cell r="F17">
            <v>0</v>
          </cell>
          <cell r="G17">
            <v>0</v>
          </cell>
          <cell r="H17">
            <v>0</v>
          </cell>
        </row>
      </sheetData>
      <sheetData sheetId="20">
        <row r="5">
          <cell r="B5">
            <v>0</v>
          </cell>
          <cell r="C5">
            <v>0</v>
          </cell>
          <cell r="D5">
            <v>0</v>
          </cell>
          <cell r="E5">
            <v>0</v>
          </cell>
          <cell r="F5">
            <v>0</v>
          </cell>
          <cell r="G5">
            <v>0</v>
          </cell>
          <cell r="H5">
            <v>0</v>
          </cell>
        </row>
        <row r="6">
          <cell r="B6">
            <v>0</v>
          </cell>
          <cell r="C6">
            <v>0</v>
          </cell>
          <cell r="D6">
            <v>0</v>
          </cell>
          <cell r="E6">
            <v>0</v>
          </cell>
          <cell r="F6">
            <v>0</v>
          </cell>
          <cell r="G6">
            <v>0</v>
          </cell>
          <cell r="H6">
            <v>0</v>
          </cell>
        </row>
        <row r="7">
          <cell r="B7">
            <v>0</v>
          </cell>
          <cell r="C7">
            <v>0</v>
          </cell>
          <cell r="D7">
            <v>0</v>
          </cell>
          <cell r="E7">
            <v>0</v>
          </cell>
          <cell r="F7">
            <v>0</v>
          </cell>
          <cell r="G7">
            <v>0</v>
          </cell>
          <cell r="H7">
            <v>0</v>
          </cell>
        </row>
        <row r="8">
          <cell r="B8">
            <v>0</v>
          </cell>
          <cell r="C8">
            <v>0</v>
          </cell>
          <cell r="D8">
            <v>0</v>
          </cell>
          <cell r="E8">
            <v>0</v>
          </cell>
          <cell r="F8">
            <v>0</v>
          </cell>
          <cell r="G8">
            <v>0</v>
          </cell>
          <cell r="H8">
            <v>0</v>
          </cell>
        </row>
        <row r="9">
          <cell r="B9">
            <v>0</v>
          </cell>
          <cell r="C9">
            <v>0</v>
          </cell>
          <cell r="D9">
            <v>0</v>
          </cell>
          <cell r="E9">
            <v>0</v>
          </cell>
          <cell r="F9">
            <v>0</v>
          </cell>
          <cell r="G9">
            <v>0</v>
          </cell>
          <cell r="H9">
            <v>0</v>
          </cell>
        </row>
        <row r="10">
          <cell r="B10">
            <v>0</v>
          </cell>
          <cell r="C10">
            <v>0</v>
          </cell>
          <cell r="D10">
            <v>0</v>
          </cell>
          <cell r="E10">
            <v>0</v>
          </cell>
          <cell r="F10">
            <v>0</v>
          </cell>
          <cell r="G10">
            <v>0</v>
          </cell>
          <cell r="H10">
            <v>0</v>
          </cell>
        </row>
        <row r="11">
          <cell r="B11">
            <v>0</v>
          </cell>
          <cell r="C11">
            <v>0</v>
          </cell>
          <cell r="D11">
            <v>0</v>
          </cell>
          <cell r="E11">
            <v>0</v>
          </cell>
          <cell r="F11">
            <v>0</v>
          </cell>
          <cell r="G11">
            <v>0</v>
          </cell>
          <cell r="H11">
            <v>0</v>
          </cell>
        </row>
        <row r="12">
          <cell r="B12">
            <v>0</v>
          </cell>
          <cell r="C12">
            <v>0</v>
          </cell>
          <cell r="D12">
            <v>0</v>
          </cell>
          <cell r="E12">
            <v>0</v>
          </cell>
          <cell r="F12">
            <v>0</v>
          </cell>
          <cell r="G12">
            <v>0</v>
          </cell>
          <cell r="H12">
            <v>0</v>
          </cell>
        </row>
        <row r="13">
          <cell r="B13">
            <v>0</v>
          </cell>
          <cell r="C13">
            <v>0</v>
          </cell>
          <cell r="D13">
            <v>0</v>
          </cell>
          <cell r="E13">
            <v>0</v>
          </cell>
          <cell r="F13">
            <v>0</v>
          </cell>
          <cell r="G13">
            <v>0</v>
          </cell>
          <cell r="H13">
            <v>0</v>
          </cell>
        </row>
        <row r="14">
          <cell r="B14">
            <v>0</v>
          </cell>
          <cell r="C14">
            <v>0</v>
          </cell>
          <cell r="D14">
            <v>0</v>
          </cell>
          <cell r="E14">
            <v>0</v>
          </cell>
          <cell r="F14">
            <v>0</v>
          </cell>
          <cell r="G14">
            <v>0</v>
          </cell>
          <cell r="H14">
            <v>0</v>
          </cell>
        </row>
        <row r="15">
          <cell r="B15">
            <v>0</v>
          </cell>
          <cell r="C15">
            <v>0</v>
          </cell>
          <cell r="D15">
            <v>0</v>
          </cell>
          <cell r="E15">
            <v>0</v>
          </cell>
          <cell r="F15">
            <v>0</v>
          </cell>
          <cell r="G15">
            <v>0</v>
          </cell>
          <cell r="H15">
            <v>0</v>
          </cell>
        </row>
        <row r="16">
          <cell r="B16">
            <v>0</v>
          </cell>
          <cell r="C16">
            <v>0</v>
          </cell>
          <cell r="D16">
            <v>0</v>
          </cell>
          <cell r="E16">
            <v>0</v>
          </cell>
          <cell r="F16">
            <v>0</v>
          </cell>
          <cell r="G16">
            <v>0</v>
          </cell>
          <cell r="H16">
            <v>0</v>
          </cell>
        </row>
        <row r="17">
          <cell r="B17">
            <v>0</v>
          </cell>
          <cell r="C17">
            <v>0</v>
          </cell>
          <cell r="D17">
            <v>0</v>
          </cell>
          <cell r="E17">
            <v>0</v>
          </cell>
          <cell r="F17">
            <v>0</v>
          </cell>
          <cell r="G17">
            <v>0</v>
          </cell>
          <cell r="H17">
            <v>0</v>
          </cell>
        </row>
      </sheetData>
      <sheetData sheetId="21">
        <row r="5">
          <cell r="B5">
            <v>209</v>
          </cell>
          <cell r="C5">
            <v>194</v>
          </cell>
          <cell r="D5">
            <v>58</v>
          </cell>
          <cell r="E5">
            <v>136</v>
          </cell>
          <cell r="F5">
            <v>15</v>
          </cell>
          <cell r="G5">
            <v>1</v>
          </cell>
          <cell r="H5">
            <v>14</v>
          </cell>
        </row>
        <row r="6">
          <cell r="B6">
            <v>149</v>
          </cell>
          <cell r="C6">
            <v>135</v>
          </cell>
          <cell r="D6">
            <v>37</v>
          </cell>
          <cell r="E6">
            <v>98</v>
          </cell>
          <cell r="F6">
            <v>14</v>
          </cell>
          <cell r="G6">
            <v>1</v>
          </cell>
          <cell r="H6">
            <v>13</v>
          </cell>
        </row>
        <row r="7">
          <cell r="B7">
            <v>60</v>
          </cell>
          <cell r="C7">
            <v>59</v>
          </cell>
          <cell r="D7">
            <v>21</v>
          </cell>
          <cell r="E7">
            <v>38</v>
          </cell>
          <cell r="F7">
            <v>1</v>
          </cell>
          <cell r="G7">
            <v>0</v>
          </cell>
          <cell r="H7">
            <v>1</v>
          </cell>
        </row>
        <row r="8">
          <cell r="B8">
            <v>3</v>
          </cell>
          <cell r="C8">
            <v>2</v>
          </cell>
          <cell r="D8">
            <v>2</v>
          </cell>
          <cell r="E8">
            <v>0</v>
          </cell>
          <cell r="F8">
            <v>1</v>
          </cell>
          <cell r="G8">
            <v>0</v>
          </cell>
          <cell r="H8">
            <v>1</v>
          </cell>
        </row>
        <row r="9">
          <cell r="B9">
            <v>5</v>
          </cell>
          <cell r="C9">
            <v>4</v>
          </cell>
          <cell r="D9">
            <v>4</v>
          </cell>
          <cell r="E9">
            <v>0</v>
          </cell>
          <cell r="F9">
            <v>1</v>
          </cell>
          <cell r="G9">
            <v>0</v>
          </cell>
          <cell r="H9">
            <v>1</v>
          </cell>
        </row>
        <row r="10">
          <cell r="B10">
            <v>9</v>
          </cell>
          <cell r="C10">
            <v>6</v>
          </cell>
          <cell r="D10">
            <v>6</v>
          </cell>
          <cell r="E10">
            <v>0</v>
          </cell>
          <cell r="F10">
            <v>3</v>
          </cell>
          <cell r="G10">
            <v>0</v>
          </cell>
          <cell r="H10">
            <v>3</v>
          </cell>
        </row>
        <row r="11">
          <cell r="B11">
            <v>14</v>
          </cell>
          <cell r="C11">
            <v>12</v>
          </cell>
          <cell r="D11">
            <v>12</v>
          </cell>
          <cell r="E11">
            <v>0</v>
          </cell>
          <cell r="F11">
            <v>2</v>
          </cell>
          <cell r="G11">
            <v>0</v>
          </cell>
          <cell r="H11">
            <v>2</v>
          </cell>
        </row>
        <row r="12">
          <cell r="B12">
            <v>25</v>
          </cell>
          <cell r="C12">
            <v>23</v>
          </cell>
          <cell r="D12">
            <v>13</v>
          </cell>
          <cell r="E12">
            <v>10</v>
          </cell>
          <cell r="F12">
            <v>2</v>
          </cell>
          <cell r="G12">
            <v>0</v>
          </cell>
          <cell r="H12">
            <v>2</v>
          </cell>
        </row>
        <row r="13">
          <cell r="B13">
            <v>45</v>
          </cell>
          <cell r="C13">
            <v>45</v>
          </cell>
          <cell r="D13">
            <v>10</v>
          </cell>
          <cell r="E13">
            <v>35</v>
          </cell>
          <cell r="F13">
            <v>0</v>
          </cell>
          <cell r="G13">
            <v>0</v>
          </cell>
          <cell r="H13">
            <v>0</v>
          </cell>
        </row>
        <row r="14">
          <cell r="B14">
            <v>63</v>
          </cell>
          <cell r="C14">
            <v>59</v>
          </cell>
          <cell r="D14">
            <v>5</v>
          </cell>
          <cell r="E14">
            <v>54</v>
          </cell>
          <cell r="F14">
            <v>4</v>
          </cell>
          <cell r="G14">
            <v>1</v>
          </cell>
          <cell r="H14">
            <v>3</v>
          </cell>
        </row>
        <row r="15">
          <cell r="B15">
            <v>29</v>
          </cell>
          <cell r="C15">
            <v>28</v>
          </cell>
          <cell r="D15">
            <v>3</v>
          </cell>
          <cell r="E15">
            <v>25</v>
          </cell>
          <cell r="F15">
            <v>1</v>
          </cell>
          <cell r="G15">
            <v>0</v>
          </cell>
          <cell r="H15">
            <v>1</v>
          </cell>
        </row>
        <row r="16">
          <cell r="B16">
            <v>14</v>
          </cell>
          <cell r="C16">
            <v>13</v>
          </cell>
          <cell r="D16">
            <v>3</v>
          </cell>
          <cell r="E16">
            <v>10</v>
          </cell>
          <cell r="F16">
            <v>1</v>
          </cell>
          <cell r="G16">
            <v>0</v>
          </cell>
          <cell r="H16">
            <v>1</v>
          </cell>
        </row>
        <row r="17">
          <cell r="B17">
            <v>2</v>
          </cell>
          <cell r="C17">
            <v>2</v>
          </cell>
          <cell r="D17">
            <v>0</v>
          </cell>
          <cell r="E17">
            <v>2</v>
          </cell>
          <cell r="F17">
            <v>0</v>
          </cell>
          <cell r="G17">
            <v>0</v>
          </cell>
          <cell r="H17">
            <v>0</v>
          </cell>
        </row>
      </sheetData>
      <sheetData sheetId="22">
        <row r="5">
          <cell r="B5">
            <v>104</v>
          </cell>
          <cell r="C5">
            <v>101</v>
          </cell>
          <cell r="D5">
            <v>22</v>
          </cell>
          <cell r="E5">
            <v>79</v>
          </cell>
          <cell r="F5">
            <v>3</v>
          </cell>
          <cell r="G5">
            <v>0</v>
          </cell>
          <cell r="H5">
            <v>3</v>
          </cell>
        </row>
        <row r="6">
          <cell r="B6">
            <v>61</v>
          </cell>
          <cell r="C6">
            <v>59</v>
          </cell>
          <cell r="D6">
            <v>10</v>
          </cell>
          <cell r="E6">
            <v>49</v>
          </cell>
          <cell r="F6">
            <v>2</v>
          </cell>
          <cell r="G6">
            <v>0</v>
          </cell>
          <cell r="H6">
            <v>2</v>
          </cell>
        </row>
        <row r="7">
          <cell r="B7">
            <v>43</v>
          </cell>
          <cell r="C7">
            <v>42</v>
          </cell>
          <cell r="D7">
            <v>12</v>
          </cell>
          <cell r="E7">
            <v>30</v>
          </cell>
          <cell r="F7">
            <v>1</v>
          </cell>
          <cell r="G7">
            <v>0</v>
          </cell>
          <cell r="H7">
            <v>1</v>
          </cell>
        </row>
        <row r="8">
          <cell r="B8">
            <v>0</v>
          </cell>
          <cell r="C8">
            <v>0</v>
          </cell>
          <cell r="D8">
            <v>0</v>
          </cell>
          <cell r="E8">
            <v>0</v>
          </cell>
          <cell r="F8">
            <v>0</v>
          </cell>
          <cell r="G8">
            <v>0</v>
          </cell>
          <cell r="H8">
            <v>0</v>
          </cell>
        </row>
        <row r="9">
          <cell r="B9">
            <v>1</v>
          </cell>
          <cell r="C9">
            <v>1</v>
          </cell>
          <cell r="D9">
            <v>1</v>
          </cell>
          <cell r="E9">
            <v>0</v>
          </cell>
          <cell r="F9">
            <v>0</v>
          </cell>
          <cell r="G9">
            <v>0</v>
          </cell>
          <cell r="H9">
            <v>0</v>
          </cell>
        </row>
        <row r="10">
          <cell r="B10">
            <v>2</v>
          </cell>
          <cell r="C10">
            <v>2</v>
          </cell>
          <cell r="D10">
            <v>2</v>
          </cell>
          <cell r="E10">
            <v>0</v>
          </cell>
          <cell r="F10">
            <v>0</v>
          </cell>
          <cell r="G10">
            <v>0</v>
          </cell>
          <cell r="H10">
            <v>0</v>
          </cell>
        </row>
        <row r="11">
          <cell r="B11">
            <v>10</v>
          </cell>
          <cell r="C11">
            <v>10</v>
          </cell>
          <cell r="D11">
            <v>8</v>
          </cell>
          <cell r="E11">
            <v>2</v>
          </cell>
          <cell r="F11">
            <v>0</v>
          </cell>
          <cell r="G11">
            <v>0</v>
          </cell>
          <cell r="H11">
            <v>0</v>
          </cell>
        </row>
        <row r="12">
          <cell r="B12">
            <v>23</v>
          </cell>
          <cell r="C12">
            <v>22</v>
          </cell>
          <cell r="D12">
            <v>4</v>
          </cell>
          <cell r="E12">
            <v>18</v>
          </cell>
          <cell r="F12">
            <v>1</v>
          </cell>
          <cell r="G12">
            <v>0</v>
          </cell>
          <cell r="H12">
            <v>1</v>
          </cell>
        </row>
        <row r="13">
          <cell r="B13">
            <v>26</v>
          </cell>
          <cell r="C13">
            <v>25</v>
          </cell>
          <cell r="D13">
            <v>4</v>
          </cell>
          <cell r="E13">
            <v>21</v>
          </cell>
          <cell r="F13">
            <v>1</v>
          </cell>
          <cell r="G13">
            <v>0</v>
          </cell>
          <cell r="H13">
            <v>1</v>
          </cell>
        </row>
        <row r="14">
          <cell r="B14">
            <v>21</v>
          </cell>
          <cell r="C14">
            <v>20</v>
          </cell>
          <cell r="D14">
            <v>1</v>
          </cell>
          <cell r="E14">
            <v>19</v>
          </cell>
          <cell r="F14">
            <v>1</v>
          </cell>
          <cell r="G14">
            <v>0</v>
          </cell>
          <cell r="H14">
            <v>1</v>
          </cell>
        </row>
        <row r="15">
          <cell r="B15">
            <v>14</v>
          </cell>
          <cell r="C15">
            <v>14</v>
          </cell>
          <cell r="D15">
            <v>1</v>
          </cell>
          <cell r="E15">
            <v>13</v>
          </cell>
          <cell r="F15">
            <v>0</v>
          </cell>
          <cell r="G15">
            <v>0</v>
          </cell>
          <cell r="H15">
            <v>0</v>
          </cell>
        </row>
        <row r="16">
          <cell r="B16">
            <v>7</v>
          </cell>
          <cell r="C16">
            <v>7</v>
          </cell>
          <cell r="D16">
            <v>1</v>
          </cell>
          <cell r="E16">
            <v>6</v>
          </cell>
          <cell r="F16">
            <v>0</v>
          </cell>
          <cell r="G16">
            <v>0</v>
          </cell>
          <cell r="H16">
            <v>0</v>
          </cell>
        </row>
        <row r="17">
          <cell r="B17">
            <v>0</v>
          </cell>
          <cell r="C17">
            <v>0</v>
          </cell>
          <cell r="D17">
            <v>0</v>
          </cell>
          <cell r="E17">
            <v>0</v>
          </cell>
          <cell r="F17">
            <v>0</v>
          </cell>
          <cell r="G17">
            <v>0</v>
          </cell>
          <cell r="H17">
            <v>0</v>
          </cell>
        </row>
      </sheetData>
      <sheetData sheetId="23">
        <row r="5">
          <cell r="B5">
            <v>69</v>
          </cell>
          <cell r="C5">
            <v>57</v>
          </cell>
          <cell r="D5">
            <v>0</v>
          </cell>
          <cell r="E5">
            <v>57</v>
          </cell>
          <cell r="F5">
            <v>12</v>
          </cell>
          <cell r="G5">
            <v>0</v>
          </cell>
          <cell r="H5">
            <v>12</v>
          </cell>
        </row>
        <row r="6">
          <cell r="B6">
            <v>63</v>
          </cell>
          <cell r="C6">
            <v>53</v>
          </cell>
          <cell r="D6">
            <v>0</v>
          </cell>
          <cell r="E6">
            <v>53</v>
          </cell>
          <cell r="F6">
            <v>10</v>
          </cell>
          <cell r="G6">
            <v>0</v>
          </cell>
          <cell r="H6">
            <v>10</v>
          </cell>
        </row>
        <row r="7">
          <cell r="B7">
            <v>6</v>
          </cell>
          <cell r="C7">
            <v>4</v>
          </cell>
          <cell r="D7">
            <v>0</v>
          </cell>
          <cell r="E7">
            <v>4</v>
          </cell>
          <cell r="F7">
            <v>2</v>
          </cell>
          <cell r="G7">
            <v>0</v>
          </cell>
          <cell r="H7">
            <v>2</v>
          </cell>
        </row>
        <row r="8">
          <cell r="B8">
            <v>41</v>
          </cell>
          <cell r="C8">
            <v>35</v>
          </cell>
          <cell r="D8">
            <v>0</v>
          </cell>
          <cell r="E8">
            <v>35</v>
          </cell>
          <cell r="F8">
            <v>6</v>
          </cell>
          <cell r="G8">
            <v>0</v>
          </cell>
          <cell r="H8">
            <v>6</v>
          </cell>
        </row>
        <row r="9">
          <cell r="B9">
            <v>10</v>
          </cell>
          <cell r="C9">
            <v>9</v>
          </cell>
          <cell r="D9">
            <v>0</v>
          </cell>
          <cell r="E9">
            <v>9</v>
          </cell>
          <cell r="F9">
            <v>1</v>
          </cell>
          <cell r="G9">
            <v>0</v>
          </cell>
          <cell r="H9">
            <v>1</v>
          </cell>
        </row>
        <row r="10">
          <cell r="B10">
            <v>5</v>
          </cell>
          <cell r="C10">
            <v>5</v>
          </cell>
          <cell r="D10">
            <v>0</v>
          </cell>
          <cell r="E10">
            <v>5</v>
          </cell>
          <cell r="F10">
            <v>0</v>
          </cell>
          <cell r="G10">
            <v>0</v>
          </cell>
          <cell r="H10">
            <v>0</v>
          </cell>
        </row>
        <row r="11">
          <cell r="B11">
            <v>8</v>
          </cell>
          <cell r="C11">
            <v>3</v>
          </cell>
          <cell r="D11">
            <v>0</v>
          </cell>
          <cell r="E11">
            <v>3</v>
          </cell>
          <cell r="F11">
            <v>5</v>
          </cell>
          <cell r="G11">
            <v>0</v>
          </cell>
          <cell r="H11">
            <v>5</v>
          </cell>
        </row>
        <row r="12">
          <cell r="B12">
            <v>2</v>
          </cell>
          <cell r="C12">
            <v>2</v>
          </cell>
          <cell r="D12">
            <v>0</v>
          </cell>
          <cell r="E12">
            <v>2</v>
          </cell>
          <cell r="F12">
            <v>0</v>
          </cell>
          <cell r="G12">
            <v>0</v>
          </cell>
          <cell r="H12">
            <v>0</v>
          </cell>
        </row>
        <row r="13">
          <cell r="B13">
            <v>1</v>
          </cell>
          <cell r="C13">
            <v>1</v>
          </cell>
          <cell r="D13">
            <v>0</v>
          </cell>
          <cell r="E13">
            <v>1</v>
          </cell>
          <cell r="F13">
            <v>0</v>
          </cell>
          <cell r="G13">
            <v>0</v>
          </cell>
          <cell r="H13">
            <v>0</v>
          </cell>
        </row>
        <row r="14">
          <cell r="B14">
            <v>2</v>
          </cell>
          <cell r="C14">
            <v>2</v>
          </cell>
          <cell r="D14">
            <v>0</v>
          </cell>
          <cell r="E14">
            <v>2</v>
          </cell>
          <cell r="F14">
            <v>0</v>
          </cell>
          <cell r="G14">
            <v>0</v>
          </cell>
          <cell r="H14">
            <v>0</v>
          </cell>
        </row>
        <row r="15">
          <cell r="B15">
            <v>0</v>
          </cell>
          <cell r="C15">
            <v>0</v>
          </cell>
          <cell r="D15">
            <v>0</v>
          </cell>
          <cell r="E15">
            <v>0</v>
          </cell>
          <cell r="F15">
            <v>0</v>
          </cell>
          <cell r="G15">
            <v>0</v>
          </cell>
          <cell r="H15">
            <v>0</v>
          </cell>
        </row>
        <row r="16">
          <cell r="B16">
            <v>0</v>
          </cell>
          <cell r="C16">
            <v>0</v>
          </cell>
          <cell r="D16">
            <v>0</v>
          </cell>
          <cell r="E16">
            <v>0</v>
          </cell>
          <cell r="F16">
            <v>0</v>
          </cell>
          <cell r="G16">
            <v>0</v>
          </cell>
          <cell r="H16">
            <v>0</v>
          </cell>
        </row>
        <row r="17">
          <cell r="B17">
            <v>0</v>
          </cell>
          <cell r="C17">
            <v>0</v>
          </cell>
          <cell r="D17">
            <v>0</v>
          </cell>
          <cell r="E17">
            <v>0</v>
          </cell>
          <cell r="F17">
            <v>0</v>
          </cell>
          <cell r="G17">
            <v>0</v>
          </cell>
          <cell r="H17">
            <v>0</v>
          </cell>
        </row>
      </sheetData>
      <sheetData sheetId="24">
        <row r="5">
          <cell r="B5">
            <v>4154</v>
          </cell>
          <cell r="C5">
            <v>0</v>
          </cell>
          <cell r="D5">
            <v>929</v>
          </cell>
          <cell r="E5">
            <v>174</v>
          </cell>
          <cell r="F5">
            <v>3051</v>
          </cell>
          <cell r="G5">
            <v>4000</v>
          </cell>
          <cell r="H5">
            <v>0</v>
          </cell>
          <cell r="I5">
            <v>798</v>
          </cell>
          <cell r="J5">
            <v>173</v>
          </cell>
          <cell r="K5">
            <v>3029</v>
          </cell>
          <cell r="L5">
            <v>154</v>
          </cell>
          <cell r="M5">
            <v>0</v>
          </cell>
          <cell r="N5">
            <v>131</v>
          </cell>
          <cell r="O5">
            <v>1</v>
          </cell>
          <cell r="P5">
            <v>22</v>
          </cell>
        </row>
        <row r="6">
          <cell r="B6">
            <v>3371</v>
          </cell>
          <cell r="C6">
            <v>0</v>
          </cell>
          <cell r="D6">
            <v>576</v>
          </cell>
          <cell r="E6">
            <v>66</v>
          </cell>
          <cell r="F6">
            <v>2729</v>
          </cell>
          <cell r="G6">
            <v>3286</v>
          </cell>
          <cell r="H6">
            <v>0</v>
          </cell>
          <cell r="I6">
            <v>513</v>
          </cell>
          <cell r="J6">
            <v>66</v>
          </cell>
          <cell r="K6">
            <v>2707</v>
          </cell>
          <cell r="L6">
            <v>85</v>
          </cell>
          <cell r="M6">
            <v>0</v>
          </cell>
          <cell r="N6">
            <v>63</v>
          </cell>
          <cell r="O6">
            <v>0</v>
          </cell>
          <cell r="P6">
            <v>22</v>
          </cell>
        </row>
        <row r="7">
          <cell r="B7">
            <v>783</v>
          </cell>
          <cell r="C7">
            <v>0</v>
          </cell>
          <cell r="D7">
            <v>353</v>
          </cell>
          <cell r="E7">
            <v>108</v>
          </cell>
          <cell r="F7">
            <v>322</v>
          </cell>
          <cell r="G7">
            <v>714</v>
          </cell>
          <cell r="H7">
            <v>0</v>
          </cell>
          <cell r="I7">
            <v>285</v>
          </cell>
          <cell r="J7">
            <v>107</v>
          </cell>
          <cell r="K7">
            <v>322</v>
          </cell>
          <cell r="L7">
            <v>69</v>
          </cell>
          <cell r="M7">
            <v>0</v>
          </cell>
          <cell r="N7">
            <v>68</v>
          </cell>
          <cell r="O7">
            <v>1</v>
          </cell>
          <cell r="P7">
            <v>0</v>
          </cell>
        </row>
        <row r="8">
          <cell r="B8">
            <v>2593</v>
          </cell>
          <cell r="C8">
            <v>0</v>
          </cell>
          <cell r="D8">
            <v>34</v>
          </cell>
          <cell r="E8">
            <v>0</v>
          </cell>
          <cell r="F8">
            <v>2559</v>
          </cell>
          <cell r="G8">
            <v>2590</v>
          </cell>
          <cell r="H8">
            <v>0</v>
          </cell>
          <cell r="I8">
            <v>34</v>
          </cell>
          <cell r="J8">
            <v>0</v>
          </cell>
          <cell r="K8">
            <v>2556</v>
          </cell>
          <cell r="L8">
            <v>3</v>
          </cell>
          <cell r="M8">
            <v>0</v>
          </cell>
          <cell r="N8">
            <v>0</v>
          </cell>
          <cell r="O8">
            <v>0</v>
          </cell>
          <cell r="P8">
            <v>3</v>
          </cell>
        </row>
        <row r="9">
          <cell r="B9">
            <v>245</v>
          </cell>
          <cell r="C9">
            <v>0</v>
          </cell>
          <cell r="D9">
            <v>31</v>
          </cell>
          <cell r="E9">
            <v>2</v>
          </cell>
          <cell r="F9">
            <v>212</v>
          </cell>
          <cell r="G9">
            <v>235</v>
          </cell>
          <cell r="H9">
            <v>0</v>
          </cell>
          <cell r="I9">
            <v>31</v>
          </cell>
          <cell r="J9">
            <v>2</v>
          </cell>
          <cell r="K9">
            <v>202</v>
          </cell>
          <cell r="L9">
            <v>10</v>
          </cell>
          <cell r="M9">
            <v>0</v>
          </cell>
          <cell r="N9">
            <v>0</v>
          </cell>
          <cell r="O9">
            <v>0</v>
          </cell>
          <cell r="P9">
            <v>10</v>
          </cell>
        </row>
        <row r="10">
          <cell r="B10">
            <v>109</v>
          </cell>
          <cell r="C10">
            <v>0</v>
          </cell>
          <cell r="D10">
            <v>30</v>
          </cell>
          <cell r="E10">
            <v>4</v>
          </cell>
          <cell r="F10">
            <v>75</v>
          </cell>
          <cell r="G10">
            <v>101</v>
          </cell>
          <cell r="H10">
            <v>0</v>
          </cell>
          <cell r="I10">
            <v>29</v>
          </cell>
          <cell r="J10">
            <v>4</v>
          </cell>
          <cell r="K10">
            <v>68</v>
          </cell>
          <cell r="L10">
            <v>8</v>
          </cell>
          <cell r="M10">
            <v>0</v>
          </cell>
          <cell r="N10">
            <v>1</v>
          </cell>
          <cell r="O10">
            <v>0</v>
          </cell>
          <cell r="P10">
            <v>7</v>
          </cell>
        </row>
        <row r="11">
          <cell r="B11">
            <v>93</v>
          </cell>
          <cell r="C11">
            <v>0</v>
          </cell>
          <cell r="D11">
            <v>41</v>
          </cell>
          <cell r="E11">
            <v>1</v>
          </cell>
          <cell r="F11">
            <v>51</v>
          </cell>
          <cell r="G11">
            <v>91</v>
          </cell>
          <cell r="H11">
            <v>0</v>
          </cell>
          <cell r="I11">
            <v>41</v>
          </cell>
          <cell r="J11">
            <v>1</v>
          </cell>
          <cell r="K11">
            <v>49</v>
          </cell>
          <cell r="L11">
            <v>2</v>
          </cell>
          <cell r="M11">
            <v>0</v>
          </cell>
          <cell r="N11">
            <v>0</v>
          </cell>
          <cell r="O11">
            <v>0</v>
          </cell>
          <cell r="P11">
            <v>2</v>
          </cell>
        </row>
        <row r="12">
          <cell r="B12">
            <v>90</v>
          </cell>
          <cell r="C12">
            <v>0</v>
          </cell>
          <cell r="D12">
            <v>43</v>
          </cell>
          <cell r="E12">
            <v>2</v>
          </cell>
          <cell r="F12">
            <v>45</v>
          </cell>
          <cell r="G12">
            <v>87</v>
          </cell>
          <cell r="H12">
            <v>0</v>
          </cell>
          <cell r="I12">
            <v>40</v>
          </cell>
          <cell r="J12">
            <v>2</v>
          </cell>
          <cell r="K12">
            <v>45</v>
          </cell>
          <cell r="L12">
            <v>3</v>
          </cell>
          <cell r="M12">
            <v>0</v>
          </cell>
          <cell r="N12">
            <v>3</v>
          </cell>
          <cell r="O12">
            <v>0</v>
          </cell>
          <cell r="P12">
            <v>0</v>
          </cell>
        </row>
        <row r="13">
          <cell r="B13">
            <v>68</v>
          </cell>
          <cell r="C13">
            <v>0</v>
          </cell>
          <cell r="D13">
            <v>42</v>
          </cell>
          <cell r="E13">
            <v>3</v>
          </cell>
          <cell r="F13">
            <v>23</v>
          </cell>
          <cell r="G13">
            <v>65</v>
          </cell>
          <cell r="H13">
            <v>0</v>
          </cell>
          <cell r="I13">
            <v>39</v>
          </cell>
          <cell r="J13">
            <v>3</v>
          </cell>
          <cell r="K13">
            <v>23</v>
          </cell>
          <cell r="L13">
            <v>3</v>
          </cell>
          <cell r="M13">
            <v>0</v>
          </cell>
          <cell r="N13">
            <v>3</v>
          </cell>
          <cell r="O13">
            <v>0</v>
          </cell>
          <cell r="P13">
            <v>0</v>
          </cell>
        </row>
        <row r="14">
          <cell r="B14">
            <v>65</v>
          </cell>
          <cell r="C14">
            <v>0</v>
          </cell>
          <cell r="D14">
            <v>33</v>
          </cell>
          <cell r="E14">
            <v>1</v>
          </cell>
          <cell r="F14">
            <v>31</v>
          </cell>
          <cell r="G14">
            <v>62</v>
          </cell>
          <cell r="H14">
            <v>0</v>
          </cell>
          <cell r="I14">
            <v>30</v>
          </cell>
          <cell r="J14">
            <v>1</v>
          </cell>
          <cell r="K14">
            <v>31</v>
          </cell>
          <cell r="L14">
            <v>3</v>
          </cell>
          <cell r="M14">
            <v>0</v>
          </cell>
          <cell r="N14">
            <v>3</v>
          </cell>
          <cell r="O14">
            <v>0</v>
          </cell>
          <cell r="P14">
            <v>0</v>
          </cell>
        </row>
        <row r="15">
          <cell r="B15">
            <v>71</v>
          </cell>
          <cell r="C15">
            <v>0</v>
          </cell>
          <cell r="D15">
            <v>52</v>
          </cell>
          <cell r="E15">
            <v>3</v>
          </cell>
          <cell r="F15">
            <v>16</v>
          </cell>
          <cell r="G15">
            <v>65</v>
          </cell>
          <cell r="H15">
            <v>0</v>
          </cell>
          <cell r="I15">
            <v>46</v>
          </cell>
          <cell r="J15">
            <v>3</v>
          </cell>
          <cell r="K15">
            <v>16</v>
          </cell>
          <cell r="L15">
            <v>6</v>
          </cell>
          <cell r="M15">
            <v>0</v>
          </cell>
          <cell r="N15">
            <v>6</v>
          </cell>
          <cell r="O15">
            <v>0</v>
          </cell>
          <cell r="P15">
            <v>0</v>
          </cell>
        </row>
        <row r="16">
          <cell r="B16">
            <v>56</v>
          </cell>
          <cell r="C16">
            <v>0</v>
          </cell>
          <cell r="D16">
            <v>30</v>
          </cell>
          <cell r="E16">
            <v>6</v>
          </cell>
          <cell r="F16">
            <v>20</v>
          </cell>
          <cell r="G16">
            <v>51</v>
          </cell>
          <cell r="H16">
            <v>0</v>
          </cell>
          <cell r="I16">
            <v>25</v>
          </cell>
          <cell r="J16">
            <v>6</v>
          </cell>
          <cell r="K16">
            <v>20</v>
          </cell>
          <cell r="L16">
            <v>5</v>
          </cell>
          <cell r="M16">
            <v>0</v>
          </cell>
          <cell r="N16">
            <v>5</v>
          </cell>
          <cell r="O16">
            <v>0</v>
          </cell>
          <cell r="P16">
            <v>0</v>
          </cell>
        </row>
        <row r="17">
          <cell r="B17">
            <v>62</v>
          </cell>
          <cell r="C17">
            <v>0</v>
          </cell>
          <cell r="D17">
            <v>44</v>
          </cell>
          <cell r="E17">
            <v>5</v>
          </cell>
          <cell r="F17">
            <v>13</v>
          </cell>
          <cell r="G17">
            <v>50</v>
          </cell>
          <cell r="H17">
            <v>0</v>
          </cell>
          <cell r="I17">
            <v>32</v>
          </cell>
          <cell r="J17">
            <v>5</v>
          </cell>
          <cell r="K17">
            <v>13</v>
          </cell>
          <cell r="L17">
            <v>12</v>
          </cell>
          <cell r="M17">
            <v>0</v>
          </cell>
          <cell r="N17">
            <v>12</v>
          </cell>
          <cell r="O17">
            <v>0</v>
          </cell>
          <cell r="P17">
            <v>0</v>
          </cell>
        </row>
        <row r="18">
          <cell r="B18">
            <v>66</v>
          </cell>
          <cell r="C18">
            <v>0</v>
          </cell>
          <cell r="D18">
            <v>53</v>
          </cell>
          <cell r="E18">
            <v>9</v>
          </cell>
          <cell r="F18">
            <v>4</v>
          </cell>
          <cell r="G18">
            <v>52</v>
          </cell>
          <cell r="H18">
            <v>0</v>
          </cell>
          <cell r="I18">
            <v>39</v>
          </cell>
          <cell r="J18">
            <v>9</v>
          </cell>
          <cell r="K18">
            <v>4</v>
          </cell>
          <cell r="L18">
            <v>14</v>
          </cell>
          <cell r="M18">
            <v>0</v>
          </cell>
          <cell r="N18">
            <v>14</v>
          </cell>
          <cell r="O18">
            <v>0</v>
          </cell>
          <cell r="P18">
            <v>0</v>
          </cell>
        </row>
        <row r="19">
          <cell r="B19">
            <v>34</v>
          </cell>
          <cell r="C19">
            <v>0</v>
          </cell>
          <cell r="D19">
            <v>31</v>
          </cell>
          <cell r="E19">
            <v>2</v>
          </cell>
          <cell r="F19">
            <v>1</v>
          </cell>
          <cell r="G19">
            <v>30</v>
          </cell>
          <cell r="H19">
            <v>0</v>
          </cell>
          <cell r="I19">
            <v>27</v>
          </cell>
          <cell r="J19">
            <v>2</v>
          </cell>
          <cell r="K19">
            <v>1</v>
          </cell>
          <cell r="L19">
            <v>4</v>
          </cell>
          <cell r="M19">
            <v>0</v>
          </cell>
          <cell r="N19">
            <v>4</v>
          </cell>
          <cell r="O19">
            <v>0</v>
          </cell>
          <cell r="P19">
            <v>0</v>
          </cell>
        </row>
        <row r="20">
          <cell r="B20">
            <v>51</v>
          </cell>
          <cell r="C20">
            <v>0</v>
          </cell>
          <cell r="D20">
            <v>41</v>
          </cell>
          <cell r="E20">
            <v>10</v>
          </cell>
          <cell r="F20">
            <v>0</v>
          </cell>
          <cell r="G20">
            <v>43</v>
          </cell>
          <cell r="H20">
            <v>0</v>
          </cell>
          <cell r="I20">
            <v>33</v>
          </cell>
          <cell r="J20">
            <v>10</v>
          </cell>
          <cell r="K20">
            <v>0</v>
          </cell>
          <cell r="L20">
            <v>8</v>
          </cell>
          <cell r="M20">
            <v>0</v>
          </cell>
          <cell r="N20">
            <v>8</v>
          </cell>
          <cell r="O20">
            <v>0</v>
          </cell>
          <cell r="P20">
            <v>0</v>
          </cell>
        </row>
        <row r="21">
          <cell r="B21">
            <v>37</v>
          </cell>
          <cell r="C21">
            <v>0</v>
          </cell>
          <cell r="D21">
            <v>29</v>
          </cell>
          <cell r="E21">
            <v>8</v>
          </cell>
          <cell r="F21">
            <v>0</v>
          </cell>
          <cell r="G21">
            <v>30</v>
          </cell>
          <cell r="H21">
            <v>0</v>
          </cell>
          <cell r="I21">
            <v>22</v>
          </cell>
          <cell r="J21">
            <v>8</v>
          </cell>
          <cell r="K21">
            <v>0</v>
          </cell>
          <cell r="L21">
            <v>7</v>
          </cell>
          <cell r="M21">
            <v>0</v>
          </cell>
          <cell r="N21">
            <v>7</v>
          </cell>
          <cell r="O21">
            <v>0</v>
          </cell>
          <cell r="P21">
            <v>0</v>
          </cell>
        </row>
        <row r="22">
          <cell r="B22">
            <v>33</v>
          </cell>
          <cell r="C22">
            <v>0</v>
          </cell>
          <cell r="D22">
            <v>26</v>
          </cell>
          <cell r="E22">
            <v>6</v>
          </cell>
          <cell r="F22">
            <v>1</v>
          </cell>
          <cell r="G22">
            <v>30</v>
          </cell>
          <cell r="H22">
            <v>0</v>
          </cell>
          <cell r="I22">
            <v>23</v>
          </cell>
          <cell r="J22">
            <v>6</v>
          </cell>
          <cell r="K22">
            <v>1</v>
          </cell>
          <cell r="L22">
            <v>3</v>
          </cell>
          <cell r="M22">
            <v>0</v>
          </cell>
          <cell r="N22">
            <v>3</v>
          </cell>
          <cell r="O22">
            <v>0</v>
          </cell>
          <cell r="P22">
            <v>0</v>
          </cell>
        </row>
        <row r="23">
          <cell r="B23">
            <v>42</v>
          </cell>
          <cell r="C23">
            <v>0</v>
          </cell>
          <cell r="D23">
            <v>29</v>
          </cell>
          <cell r="E23">
            <v>13</v>
          </cell>
          <cell r="F23">
            <v>0</v>
          </cell>
          <cell r="G23">
            <v>36</v>
          </cell>
          <cell r="H23">
            <v>0</v>
          </cell>
          <cell r="I23">
            <v>23</v>
          </cell>
          <cell r="J23">
            <v>13</v>
          </cell>
          <cell r="K23">
            <v>0</v>
          </cell>
          <cell r="L23">
            <v>6</v>
          </cell>
          <cell r="M23">
            <v>0</v>
          </cell>
          <cell r="N23">
            <v>6</v>
          </cell>
          <cell r="O23">
            <v>0</v>
          </cell>
          <cell r="P23">
            <v>0</v>
          </cell>
        </row>
        <row r="24">
          <cell r="B24">
            <v>48</v>
          </cell>
          <cell r="C24">
            <v>0</v>
          </cell>
          <cell r="D24">
            <v>36</v>
          </cell>
          <cell r="E24">
            <v>12</v>
          </cell>
          <cell r="F24">
            <v>0</v>
          </cell>
          <cell r="G24">
            <v>36</v>
          </cell>
          <cell r="H24">
            <v>0</v>
          </cell>
          <cell r="I24">
            <v>24</v>
          </cell>
          <cell r="J24">
            <v>12</v>
          </cell>
          <cell r="K24">
            <v>0</v>
          </cell>
          <cell r="L24">
            <v>12</v>
          </cell>
          <cell r="M24">
            <v>0</v>
          </cell>
          <cell r="N24">
            <v>12</v>
          </cell>
          <cell r="O24">
            <v>0</v>
          </cell>
          <cell r="P24">
            <v>0</v>
          </cell>
        </row>
        <row r="25">
          <cell r="B25">
            <v>38</v>
          </cell>
          <cell r="C25">
            <v>0</v>
          </cell>
          <cell r="D25">
            <v>27</v>
          </cell>
          <cell r="E25">
            <v>11</v>
          </cell>
          <cell r="F25">
            <v>0</v>
          </cell>
          <cell r="G25">
            <v>33</v>
          </cell>
          <cell r="H25">
            <v>0</v>
          </cell>
          <cell r="I25">
            <v>22</v>
          </cell>
          <cell r="J25">
            <v>11</v>
          </cell>
          <cell r="K25">
            <v>0</v>
          </cell>
          <cell r="L25">
            <v>5</v>
          </cell>
          <cell r="M25">
            <v>0</v>
          </cell>
          <cell r="N25">
            <v>5</v>
          </cell>
          <cell r="O25">
            <v>0</v>
          </cell>
          <cell r="P25">
            <v>0</v>
          </cell>
        </row>
        <row r="26">
          <cell r="B26">
            <v>31</v>
          </cell>
          <cell r="C26">
            <v>0</v>
          </cell>
          <cell r="D26">
            <v>22</v>
          </cell>
          <cell r="E26">
            <v>9</v>
          </cell>
          <cell r="F26">
            <v>0</v>
          </cell>
          <cell r="G26">
            <v>25</v>
          </cell>
          <cell r="H26">
            <v>0</v>
          </cell>
          <cell r="I26">
            <v>16</v>
          </cell>
          <cell r="J26">
            <v>9</v>
          </cell>
          <cell r="K26">
            <v>0</v>
          </cell>
          <cell r="L26">
            <v>6</v>
          </cell>
          <cell r="M26">
            <v>0</v>
          </cell>
          <cell r="N26">
            <v>6</v>
          </cell>
          <cell r="O26">
            <v>0</v>
          </cell>
          <cell r="P26">
            <v>0</v>
          </cell>
        </row>
        <row r="27">
          <cell r="B27">
            <v>20</v>
          </cell>
          <cell r="C27">
            <v>0</v>
          </cell>
          <cell r="D27">
            <v>13</v>
          </cell>
          <cell r="E27">
            <v>7</v>
          </cell>
          <cell r="F27">
            <v>0</v>
          </cell>
          <cell r="G27">
            <v>18</v>
          </cell>
          <cell r="H27">
            <v>0</v>
          </cell>
          <cell r="I27">
            <v>11</v>
          </cell>
          <cell r="J27">
            <v>7</v>
          </cell>
          <cell r="K27">
            <v>0</v>
          </cell>
          <cell r="L27">
            <v>2</v>
          </cell>
          <cell r="M27">
            <v>0</v>
          </cell>
          <cell r="N27">
            <v>2</v>
          </cell>
          <cell r="O27">
            <v>0</v>
          </cell>
          <cell r="P27">
            <v>0</v>
          </cell>
        </row>
        <row r="28">
          <cell r="B28">
            <v>29</v>
          </cell>
          <cell r="C28">
            <v>0</v>
          </cell>
          <cell r="D28">
            <v>22</v>
          </cell>
          <cell r="E28">
            <v>7</v>
          </cell>
          <cell r="F28">
            <v>0</v>
          </cell>
          <cell r="G28">
            <v>24</v>
          </cell>
          <cell r="H28">
            <v>0</v>
          </cell>
          <cell r="I28">
            <v>17</v>
          </cell>
          <cell r="J28">
            <v>7</v>
          </cell>
          <cell r="K28">
            <v>0</v>
          </cell>
          <cell r="L28">
            <v>5</v>
          </cell>
          <cell r="M28">
            <v>0</v>
          </cell>
          <cell r="N28">
            <v>5</v>
          </cell>
          <cell r="O28">
            <v>0</v>
          </cell>
          <cell r="P28">
            <v>0</v>
          </cell>
        </row>
        <row r="29">
          <cell r="B29">
            <v>35</v>
          </cell>
          <cell r="C29">
            <v>0</v>
          </cell>
          <cell r="D29">
            <v>22</v>
          </cell>
          <cell r="E29">
            <v>13</v>
          </cell>
          <cell r="F29">
            <v>0</v>
          </cell>
          <cell r="G29">
            <v>29</v>
          </cell>
          <cell r="H29">
            <v>0</v>
          </cell>
          <cell r="I29">
            <v>17</v>
          </cell>
          <cell r="J29">
            <v>12</v>
          </cell>
          <cell r="K29">
            <v>0</v>
          </cell>
          <cell r="L29">
            <v>6</v>
          </cell>
          <cell r="M29">
            <v>0</v>
          </cell>
          <cell r="N29">
            <v>5</v>
          </cell>
          <cell r="O29">
            <v>1</v>
          </cell>
          <cell r="P29">
            <v>0</v>
          </cell>
        </row>
        <row r="30">
          <cell r="B30">
            <v>17</v>
          </cell>
          <cell r="C30">
            <v>0</v>
          </cell>
          <cell r="D30">
            <v>12</v>
          </cell>
          <cell r="E30">
            <v>5</v>
          </cell>
          <cell r="F30">
            <v>0</v>
          </cell>
          <cell r="G30">
            <v>16</v>
          </cell>
          <cell r="H30">
            <v>0</v>
          </cell>
          <cell r="I30">
            <v>11</v>
          </cell>
          <cell r="J30">
            <v>5</v>
          </cell>
          <cell r="K30">
            <v>0</v>
          </cell>
          <cell r="L30">
            <v>1</v>
          </cell>
          <cell r="M30">
            <v>0</v>
          </cell>
          <cell r="N30">
            <v>1</v>
          </cell>
          <cell r="O30">
            <v>0</v>
          </cell>
          <cell r="P30">
            <v>0</v>
          </cell>
        </row>
        <row r="31">
          <cell r="B31">
            <v>23</v>
          </cell>
          <cell r="C31">
            <v>0</v>
          </cell>
          <cell r="D31">
            <v>19</v>
          </cell>
          <cell r="E31">
            <v>4</v>
          </cell>
          <cell r="F31">
            <v>0</v>
          </cell>
          <cell r="G31">
            <v>18</v>
          </cell>
          <cell r="H31">
            <v>0</v>
          </cell>
          <cell r="I31">
            <v>14</v>
          </cell>
          <cell r="J31">
            <v>4</v>
          </cell>
          <cell r="K31">
            <v>0</v>
          </cell>
          <cell r="L31">
            <v>5</v>
          </cell>
          <cell r="M31">
            <v>0</v>
          </cell>
          <cell r="N31">
            <v>5</v>
          </cell>
          <cell r="O31">
            <v>0</v>
          </cell>
          <cell r="P31">
            <v>0</v>
          </cell>
        </row>
        <row r="32">
          <cell r="B32">
            <v>26</v>
          </cell>
          <cell r="C32">
            <v>0</v>
          </cell>
          <cell r="D32">
            <v>21</v>
          </cell>
          <cell r="E32">
            <v>5</v>
          </cell>
          <cell r="F32">
            <v>0</v>
          </cell>
          <cell r="G32">
            <v>23</v>
          </cell>
          <cell r="H32">
            <v>0</v>
          </cell>
          <cell r="I32">
            <v>18</v>
          </cell>
          <cell r="J32">
            <v>5</v>
          </cell>
          <cell r="K32">
            <v>0</v>
          </cell>
          <cell r="L32">
            <v>3</v>
          </cell>
          <cell r="M32">
            <v>0</v>
          </cell>
          <cell r="N32">
            <v>3</v>
          </cell>
          <cell r="O32">
            <v>0</v>
          </cell>
          <cell r="P32">
            <v>0</v>
          </cell>
        </row>
        <row r="33">
          <cell r="B33">
            <v>172</v>
          </cell>
          <cell r="C33">
            <v>0</v>
          </cell>
          <cell r="D33">
            <v>146</v>
          </cell>
          <cell r="E33">
            <v>26</v>
          </cell>
          <cell r="F33">
            <v>0</v>
          </cell>
          <cell r="G33">
            <v>160</v>
          </cell>
          <cell r="H33">
            <v>0</v>
          </cell>
          <cell r="I33">
            <v>134</v>
          </cell>
          <cell r="J33">
            <v>26</v>
          </cell>
          <cell r="K33">
            <v>0</v>
          </cell>
          <cell r="L33">
            <v>12</v>
          </cell>
          <cell r="M33">
            <v>0</v>
          </cell>
          <cell r="N33">
            <v>12</v>
          </cell>
          <cell r="O33">
            <v>0</v>
          </cell>
          <cell r="P33">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5">
          <cell r="B15">
            <v>65841229</v>
          </cell>
          <cell r="G15">
            <v>90463497</v>
          </cell>
        </row>
      </sheetData>
      <sheetData sheetId="41">
        <row r="5">
          <cell r="B5">
            <v>0</v>
          </cell>
          <cell r="D5">
            <v>0</v>
          </cell>
          <cell r="F5">
            <v>0</v>
          </cell>
          <cell r="G5">
            <v>0</v>
          </cell>
          <cell r="I5">
            <v>0</v>
          </cell>
          <cell r="L5">
            <v>0</v>
          </cell>
          <cell r="M5">
            <v>0</v>
          </cell>
          <cell r="N5">
            <v>0</v>
          </cell>
          <cell r="O5">
            <v>0</v>
          </cell>
          <cell r="P5">
            <v>0</v>
          </cell>
          <cell r="Q5">
            <v>0</v>
          </cell>
        </row>
      </sheetData>
      <sheetData sheetId="42">
        <row r="5">
          <cell r="B5">
            <v>0</v>
          </cell>
        </row>
      </sheetData>
      <sheetData sheetId="43">
        <row r="6">
          <cell r="B6">
            <v>0</v>
          </cell>
        </row>
      </sheetData>
      <sheetData sheetId="44">
        <row r="15">
          <cell r="B15">
            <v>0</v>
          </cell>
        </row>
      </sheetData>
      <sheetData sheetId="45">
        <row r="15">
          <cell r="B15">
            <v>0</v>
          </cell>
        </row>
      </sheetData>
      <sheetData sheetId="46">
        <row r="14">
          <cell r="B14">
            <v>42009498</v>
          </cell>
        </row>
      </sheetData>
      <sheetData sheetId="47">
        <row r="14">
          <cell r="B14">
            <v>34281744</v>
          </cell>
        </row>
      </sheetData>
      <sheetData sheetId="48">
        <row r="15">
          <cell r="B15">
            <v>0</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機關數-OK"/>
      <sheetName val="2人數-OK"/>
      <sheetName val="3歷年退休-OK"/>
      <sheetName val="4歷年撫卹-OK"/>
      <sheetName val="5歷年離退-OK"/>
      <sheetName val="6歷年退離(政)-OK"/>
      <sheetName val="7歷年退離(公)-OK"/>
      <sheetName val="8歷年退離(教)-OK"/>
      <sheetName val="9歷年退離(軍)-OK"/>
      <sheetName val="10當年退離(政)-OK-1"/>
      <sheetName val="11當年退離(公)-OK-1"/>
      <sheetName val="12當年退離(教)-1"/>
      <sheetName val="13當年退休-OK"/>
      <sheetName val="14退休(政)-OK"/>
      <sheetName val="15退休(公)-OK"/>
      <sheetName val="16退休(教)-OK"/>
      <sheetName val="17退伍(軍"/>
      <sheetName val="18當年撫卹(總)-OK"/>
      <sheetName val="19撫卹(政)-OK"/>
      <sheetName val="20撫卹(公)-OK"/>
      <sheetName val="21撫卹(教)-OK"/>
      <sheetName val="22撫卹(軍)-OK"/>
      <sheetName val="23當年離退"/>
      <sheetName val="24退休平均俸額-OK"/>
      <sheetName val="25撫卹平均俸額-OK"/>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0"/>
      <sheetName val="41支出(公)(政府別)-0"/>
      <sheetName val="42支出(教)(政府別)-0"/>
      <sheetName val="43支出(總)-0"/>
      <sheetName val="44支出(政)-0"/>
      <sheetName val="45支出(公)-0"/>
      <sheetName val="46支出(教)-OK  "/>
      <sheetName val="47支出(軍)-OK"/>
      <sheetName val="48定撥(歷年)-OK"/>
      <sheetName val="49定撥(當年度)-OK"/>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sheetData sheetId="1"/>
      <sheetData sheetId="2">
        <row r="5">
          <cell r="B5">
            <v>257598</v>
          </cell>
          <cell r="C5">
            <v>257067</v>
          </cell>
          <cell r="D5">
            <v>84630</v>
          </cell>
          <cell r="E5">
            <v>171138</v>
          </cell>
          <cell r="F5">
            <v>1299</v>
          </cell>
          <cell r="G5">
            <v>531</v>
          </cell>
          <cell r="H5">
            <v>0</v>
          </cell>
          <cell r="I5">
            <v>0</v>
          </cell>
        </row>
        <row r="6">
          <cell r="B6">
            <v>16455</v>
          </cell>
          <cell r="C6">
            <v>16377</v>
          </cell>
          <cell r="D6">
            <v>2641</v>
          </cell>
          <cell r="E6">
            <v>13488</v>
          </cell>
          <cell r="F6">
            <v>248</v>
          </cell>
          <cell r="G6">
            <v>78</v>
          </cell>
          <cell r="H6">
            <v>0</v>
          </cell>
          <cell r="I6">
            <v>0</v>
          </cell>
          <cell r="J6">
            <v>0</v>
          </cell>
        </row>
        <row r="7">
          <cell r="B7">
            <v>21474</v>
          </cell>
          <cell r="C7">
            <v>21397</v>
          </cell>
          <cell r="D7">
            <v>4428</v>
          </cell>
          <cell r="E7">
            <v>16767</v>
          </cell>
          <cell r="F7">
            <v>202</v>
          </cell>
          <cell r="G7">
            <v>77</v>
          </cell>
          <cell r="H7">
            <v>0</v>
          </cell>
          <cell r="I7">
            <v>0</v>
          </cell>
          <cell r="J7">
            <v>0</v>
          </cell>
        </row>
        <row r="8">
          <cell r="B8">
            <v>29083</v>
          </cell>
          <cell r="C8">
            <v>29020</v>
          </cell>
          <cell r="D8">
            <v>9938</v>
          </cell>
          <cell r="E8">
            <v>18960</v>
          </cell>
          <cell r="F8">
            <v>122</v>
          </cell>
          <cell r="G8">
            <v>63</v>
          </cell>
          <cell r="H8">
            <v>0</v>
          </cell>
          <cell r="I8">
            <v>0</v>
          </cell>
          <cell r="J8">
            <v>0</v>
          </cell>
        </row>
        <row r="9">
          <cell r="B9">
            <v>31389</v>
          </cell>
          <cell r="C9">
            <v>31330</v>
          </cell>
          <cell r="D9">
            <v>11638</v>
          </cell>
          <cell r="E9">
            <v>19559</v>
          </cell>
          <cell r="F9">
            <v>133</v>
          </cell>
          <cell r="G9">
            <v>59</v>
          </cell>
        </row>
        <row r="10">
          <cell r="B10">
            <v>32155</v>
          </cell>
          <cell r="C10">
            <v>32107</v>
          </cell>
          <cell r="D10">
            <v>13122</v>
          </cell>
          <cell r="E10">
            <v>18867</v>
          </cell>
          <cell r="F10">
            <v>118</v>
          </cell>
          <cell r="G10">
            <v>48</v>
          </cell>
        </row>
        <row r="11">
          <cell r="B11">
            <v>27034</v>
          </cell>
          <cell r="C11">
            <v>26990</v>
          </cell>
          <cell r="D11">
            <v>9675</v>
          </cell>
          <cell r="E11">
            <v>17207</v>
          </cell>
          <cell r="F11">
            <v>108</v>
          </cell>
          <cell r="G11">
            <v>44</v>
          </cell>
        </row>
        <row r="12">
          <cell r="B12">
            <v>28597</v>
          </cell>
          <cell r="C12">
            <v>28554</v>
          </cell>
          <cell r="D12">
            <v>7008</v>
          </cell>
          <cell r="E12">
            <v>21440</v>
          </cell>
          <cell r="F12">
            <v>106</v>
          </cell>
          <cell r="G12">
            <v>43</v>
          </cell>
        </row>
        <row r="13">
          <cell r="B13">
            <v>27349</v>
          </cell>
          <cell r="C13">
            <v>27304</v>
          </cell>
          <cell r="D13">
            <v>7482</v>
          </cell>
          <cell r="E13">
            <v>19723</v>
          </cell>
          <cell r="F13">
            <v>99</v>
          </cell>
          <cell r="G13">
            <v>45</v>
          </cell>
        </row>
        <row r="14">
          <cell r="B14">
            <v>23327</v>
          </cell>
          <cell r="C14">
            <v>23277</v>
          </cell>
          <cell r="D14">
            <v>8903</v>
          </cell>
          <cell r="E14">
            <v>14274</v>
          </cell>
          <cell r="F14">
            <v>100</v>
          </cell>
          <cell r="G14">
            <v>50</v>
          </cell>
        </row>
        <row r="15">
          <cell r="B15">
            <v>20735</v>
          </cell>
          <cell r="C15">
            <v>20711</v>
          </cell>
          <cell r="D15">
            <v>9795</v>
          </cell>
          <cell r="E15">
            <v>10853</v>
          </cell>
          <cell r="F15">
            <v>63</v>
          </cell>
          <cell r="G15">
            <v>24</v>
          </cell>
        </row>
      </sheetData>
      <sheetData sheetId="3">
        <row r="5">
          <cell r="B5">
            <v>3755</v>
          </cell>
          <cell r="C5">
            <v>3291</v>
          </cell>
          <cell r="D5">
            <v>794</v>
          </cell>
          <cell r="E5">
            <v>2497</v>
          </cell>
          <cell r="F5">
            <v>464</v>
          </cell>
          <cell r="G5">
            <v>3</v>
          </cell>
          <cell r="H5">
            <v>461</v>
          </cell>
        </row>
        <row r="6">
          <cell r="B6">
            <v>420</v>
          </cell>
          <cell r="C6">
            <v>345</v>
          </cell>
          <cell r="D6">
            <v>79</v>
          </cell>
          <cell r="E6">
            <v>266</v>
          </cell>
          <cell r="F6">
            <v>75</v>
          </cell>
          <cell r="G6">
            <v>2</v>
          </cell>
          <cell r="H6">
            <v>73</v>
          </cell>
        </row>
        <row r="7">
          <cell r="B7">
            <v>410</v>
          </cell>
          <cell r="C7">
            <v>330</v>
          </cell>
          <cell r="D7">
            <v>84</v>
          </cell>
          <cell r="E7">
            <v>246</v>
          </cell>
          <cell r="F7">
            <v>80</v>
          </cell>
          <cell r="G7">
            <v>1</v>
          </cell>
          <cell r="H7">
            <v>79</v>
          </cell>
        </row>
        <row r="8">
          <cell r="B8">
            <v>394</v>
          </cell>
          <cell r="C8">
            <v>339</v>
          </cell>
          <cell r="D8">
            <v>83</v>
          </cell>
          <cell r="E8">
            <v>256</v>
          </cell>
          <cell r="F8">
            <v>55</v>
          </cell>
          <cell r="G8">
            <v>0</v>
          </cell>
          <cell r="H8">
            <v>55</v>
          </cell>
        </row>
        <row r="9">
          <cell r="B9">
            <v>345</v>
          </cell>
          <cell r="C9">
            <v>300</v>
          </cell>
          <cell r="D9">
            <v>65</v>
          </cell>
          <cell r="E9">
            <v>235</v>
          </cell>
          <cell r="F9">
            <v>45</v>
          </cell>
          <cell r="G9">
            <v>0</v>
          </cell>
          <cell r="H9">
            <v>45</v>
          </cell>
        </row>
        <row r="10">
          <cell r="B10">
            <v>372</v>
          </cell>
          <cell r="C10">
            <v>337</v>
          </cell>
          <cell r="D10">
            <v>82</v>
          </cell>
          <cell r="E10">
            <v>255</v>
          </cell>
          <cell r="F10">
            <v>35</v>
          </cell>
          <cell r="G10">
            <v>0</v>
          </cell>
          <cell r="H10">
            <v>35</v>
          </cell>
        </row>
        <row r="11">
          <cell r="B11">
            <v>369</v>
          </cell>
          <cell r="C11">
            <v>319</v>
          </cell>
          <cell r="D11">
            <v>70</v>
          </cell>
          <cell r="E11">
            <v>249</v>
          </cell>
          <cell r="F11">
            <v>50</v>
          </cell>
          <cell r="G11">
            <v>0</v>
          </cell>
          <cell r="H11">
            <v>50</v>
          </cell>
        </row>
        <row r="12">
          <cell r="B12">
            <v>357</v>
          </cell>
          <cell r="C12">
            <v>326</v>
          </cell>
          <cell r="D12">
            <v>76</v>
          </cell>
          <cell r="E12">
            <v>250</v>
          </cell>
          <cell r="F12">
            <v>31</v>
          </cell>
          <cell r="G12">
            <v>0</v>
          </cell>
          <cell r="H12">
            <v>31</v>
          </cell>
        </row>
        <row r="13">
          <cell r="B13">
            <v>394</v>
          </cell>
          <cell r="C13">
            <v>358</v>
          </cell>
          <cell r="D13">
            <v>86</v>
          </cell>
          <cell r="E13">
            <v>272</v>
          </cell>
          <cell r="F13">
            <v>36</v>
          </cell>
          <cell r="G13">
            <v>0</v>
          </cell>
          <cell r="H13">
            <v>36</v>
          </cell>
        </row>
        <row r="14">
          <cell r="B14">
            <v>380</v>
          </cell>
          <cell r="C14">
            <v>362</v>
          </cell>
          <cell r="D14">
            <v>95</v>
          </cell>
          <cell r="E14">
            <v>267</v>
          </cell>
          <cell r="F14">
            <v>18</v>
          </cell>
          <cell r="G14">
            <v>0</v>
          </cell>
          <cell r="H14">
            <v>18</v>
          </cell>
        </row>
        <row r="15">
          <cell r="B15">
            <v>314</v>
          </cell>
          <cell r="C15">
            <v>275</v>
          </cell>
          <cell r="D15">
            <v>74</v>
          </cell>
          <cell r="E15">
            <v>201</v>
          </cell>
          <cell r="F15">
            <v>39</v>
          </cell>
          <cell r="G15">
            <v>0</v>
          </cell>
          <cell r="H15">
            <v>39</v>
          </cell>
        </row>
      </sheetData>
      <sheetData sheetId="4">
        <row r="5">
          <cell r="B5">
            <v>29988</v>
          </cell>
          <cell r="C5">
            <v>25937</v>
          </cell>
          <cell r="D5">
            <v>4051</v>
          </cell>
        </row>
        <row r="6">
          <cell r="B6">
            <v>1462</v>
          </cell>
          <cell r="C6">
            <v>1352</v>
          </cell>
          <cell r="D6">
            <v>110</v>
          </cell>
        </row>
        <row r="7">
          <cell r="B7">
            <v>2930</v>
          </cell>
          <cell r="C7">
            <v>2808</v>
          </cell>
          <cell r="D7">
            <v>122</v>
          </cell>
        </row>
        <row r="8">
          <cell r="B8">
            <v>3152</v>
          </cell>
          <cell r="C8">
            <v>2908</v>
          </cell>
          <cell r="D8">
            <v>244</v>
          </cell>
        </row>
        <row r="9">
          <cell r="B9">
            <v>2176</v>
          </cell>
          <cell r="C9">
            <v>1864</v>
          </cell>
          <cell r="D9">
            <v>312</v>
          </cell>
        </row>
        <row r="10">
          <cell r="B10">
            <v>2007</v>
          </cell>
          <cell r="C10">
            <v>1703</v>
          </cell>
          <cell r="D10">
            <v>304</v>
          </cell>
        </row>
        <row r="11">
          <cell r="B11">
            <v>1988</v>
          </cell>
          <cell r="C11">
            <v>1643</v>
          </cell>
          <cell r="D11">
            <v>345</v>
          </cell>
        </row>
        <row r="12">
          <cell r="B12">
            <v>2895</v>
          </cell>
          <cell r="C12">
            <v>2452</v>
          </cell>
          <cell r="D12">
            <v>443</v>
          </cell>
        </row>
        <row r="13">
          <cell r="B13">
            <v>4515</v>
          </cell>
          <cell r="C13">
            <v>3985</v>
          </cell>
          <cell r="D13">
            <v>530</v>
          </cell>
        </row>
        <row r="14">
          <cell r="B14">
            <v>4664</v>
          </cell>
          <cell r="C14">
            <v>4017</v>
          </cell>
          <cell r="D14">
            <v>647</v>
          </cell>
        </row>
        <row r="15">
          <cell r="B15">
            <v>4199</v>
          </cell>
          <cell r="C15">
            <v>3205</v>
          </cell>
          <cell r="D15">
            <v>994</v>
          </cell>
        </row>
      </sheetData>
      <sheetData sheetId="5">
        <row r="6">
          <cell r="B6">
            <v>18</v>
          </cell>
          <cell r="C6">
            <v>13</v>
          </cell>
          <cell r="D6">
            <v>3</v>
          </cell>
          <cell r="E6">
            <v>6</v>
          </cell>
          <cell r="F6">
            <v>4</v>
          </cell>
          <cell r="G6">
            <v>1</v>
          </cell>
          <cell r="H6">
            <v>1</v>
          </cell>
          <cell r="I6">
            <v>1</v>
          </cell>
          <cell r="J6">
            <v>0</v>
          </cell>
          <cell r="K6">
            <v>0</v>
          </cell>
          <cell r="L6">
            <v>0</v>
          </cell>
          <cell r="M6">
            <v>0</v>
          </cell>
          <cell r="N6">
            <v>4</v>
          </cell>
        </row>
        <row r="7">
          <cell r="B7">
            <v>5</v>
          </cell>
          <cell r="C7">
            <v>3</v>
          </cell>
          <cell r="D7">
            <v>1</v>
          </cell>
          <cell r="E7">
            <v>2</v>
          </cell>
          <cell r="F7">
            <v>0</v>
          </cell>
          <cell r="G7">
            <v>1</v>
          </cell>
          <cell r="H7">
            <v>1</v>
          </cell>
          <cell r="I7">
            <v>1</v>
          </cell>
          <cell r="J7">
            <v>0</v>
          </cell>
          <cell r="K7">
            <v>0</v>
          </cell>
          <cell r="L7">
            <v>0</v>
          </cell>
          <cell r="M7">
            <v>0</v>
          </cell>
          <cell r="N7">
            <v>1</v>
          </cell>
        </row>
        <row r="8">
          <cell r="B8">
            <v>3</v>
          </cell>
          <cell r="C8">
            <v>2</v>
          </cell>
          <cell r="D8">
            <v>1</v>
          </cell>
          <cell r="E8">
            <v>0</v>
          </cell>
          <cell r="F8">
            <v>1</v>
          </cell>
          <cell r="G8">
            <v>0</v>
          </cell>
          <cell r="H8">
            <v>0</v>
          </cell>
          <cell r="I8">
            <v>0</v>
          </cell>
          <cell r="J8">
            <v>0</v>
          </cell>
          <cell r="K8">
            <v>0</v>
          </cell>
          <cell r="L8">
            <v>0</v>
          </cell>
          <cell r="M8">
            <v>0</v>
          </cell>
          <cell r="N8">
            <v>1</v>
          </cell>
        </row>
        <row r="9">
          <cell r="B9">
            <v>3</v>
          </cell>
          <cell r="C9">
            <v>3</v>
          </cell>
          <cell r="D9">
            <v>0</v>
          </cell>
          <cell r="E9">
            <v>1</v>
          </cell>
          <cell r="F9">
            <v>2</v>
          </cell>
          <cell r="G9">
            <v>0</v>
          </cell>
          <cell r="H9">
            <v>0</v>
          </cell>
          <cell r="I9">
            <v>0</v>
          </cell>
          <cell r="J9">
            <v>0</v>
          </cell>
          <cell r="K9">
            <v>0</v>
          </cell>
          <cell r="L9">
            <v>0</v>
          </cell>
          <cell r="M9">
            <v>0</v>
          </cell>
          <cell r="N9">
            <v>0</v>
          </cell>
        </row>
        <row r="10">
          <cell r="B10">
            <v>3</v>
          </cell>
          <cell r="C10">
            <v>2</v>
          </cell>
          <cell r="D10">
            <v>0</v>
          </cell>
          <cell r="E10">
            <v>1</v>
          </cell>
          <cell r="F10">
            <v>1</v>
          </cell>
          <cell r="G10">
            <v>0</v>
          </cell>
          <cell r="H10">
            <v>0</v>
          </cell>
          <cell r="I10">
            <v>0</v>
          </cell>
          <cell r="J10">
            <v>0</v>
          </cell>
          <cell r="K10">
            <v>0</v>
          </cell>
          <cell r="L10">
            <v>0</v>
          </cell>
          <cell r="M10">
            <v>0</v>
          </cell>
          <cell r="N10">
            <v>1</v>
          </cell>
        </row>
        <row r="11">
          <cell r="B11">
            <v>0</v>
          </cell>
          <cell r="C11">
            <v>0</v>
          </cell>
          <cell r="D11">
            <v>0</v>
          </cell>
          <cell r="E11">
            <v>0</v>
          </cell>
          <cell r="F11">
            <v>0</v>
          </cell>
          <cell r="G11">
            <v>0</v>
          </cell>
          <cell r="H11">
            <v>0</v>
          </cell>
          <cell r="I11">
            <v>0</v>
          </cell>
          <cell r="J11">
            <v>0</v>
          </cell>
          <cell r="K11">
            <v>0</v>
          </cell>
          <cell r="L11">
            <v>0</v>
          </cell>
          <cell r="M11">
            <v>0</v>
          </cell>
          <cell r="N11">
            <v>0</v>
          </cell>
        </row>
        <row r="12">
          <cell r="B12">
            <v>3</v>
          </cell>
          <cell r="C12">
            <v>2</v>
          </cell>
          <cell r="D12">
            <v>0</v>
          </cell>
          <cell r="E12">
            <v>2</v>
          </cell>
          <cell r="F12">
            <v>0</v>
          </cell>
          <cell r="G12">
            <v>0</v>
          </cell>
          <cell r="H12">
            <v>0</v>
          </cell>
          <cell r="I12">
            <v>0</v>
          </cell>
          <cell r="J12">
            <v>0</v>
          </cell>
          <cell r="K12">
            <v>0</v>
          </cell>
          <cell r="L12">
            <v>0</v>
          </cell>
          <cell r="M12">
            <v>0</v>
          </cell>
          <cell r="N12">
            <v>1</v>
          </cell>
        </row>
        <row r="13">
          <cell r="B13">
            <v>0</v>
          </cell>
          <cell r="C13">
            <v>0</v>
          </cell>
          <cell r="D13">
            <v>0</v>
          </cell>
          <cell r="E13">
            <v>0</v>
          </cell>
          <cell r="F13">
            <v>0</v>
          </cell>
          <cell r="G13">
            <v>0</v>
          </cell>
          <cell r="H13">
            <v>0</v>
          </cell>
          <cell r="I13">
            <v>0</v>
          </cell>
          <cell r="J13">
            <v>0</v>
          </cell>
          <cell r="K13">
            <v>0</v>
          </cell>
          <cell r="L13">
            <v>0</v>
          </cell>
          <cell r="M13">
            <v>0</v>
          </cell>
          <cell r="N13">
            <v>0</v>
          </cell>
        </row>
        <row r="14">
          <cell r="B14">
            <v>0</v>
          </cell>
          <cell r="C14">
            <v>0</v>
          </cell>
          <cell r="D14">
            <v>0</v>
          </cell>
          <cell r="E14">
            <v>0</v>
          </cell>
          <cell r="F14">
            <v>0</v>
          </cell>
          <cell r="G14">
            <v>0</v>
          </cell>
          <cell r="H14">
            <v>0</v>
          </cell>
          <cell r="I14">
            <v>0</v>
          </cell>
          <cell r="J14">
            <v>0</v>
          </cell>
          <cell r="K14">
            <v>0</v>
          </cell>
          <cell r="L14">
            <v>0</v>
          </cell>
          <cell r="M14">
            <v>0</v>
          </cell>
          <cell r="N14">
            <v>0</v>
          </cell>
        </row>
        <row r="15">
          <cell r="B15">
            <v>0</v>
          </cell>
          <cell r="C15">
            <v>0</v>
          </cell>
          <cell r="D15">
            <v>0</v>
          </cell>
          <cell r="E15">
            <v>0</v>
          </cell>
          <cell r="F15">
            <v>0</v>
          </cell>
          <cell r="G15">
            <v>0</v>
          </cell>
          <cell r="H15">
            <v>0</v>
          </cell>
          <cell r="I15">
            <v>0</v>
          </cell>
          <cell r="J15">
            <v>0</v>
          </cell>
          <cell r="K15">
            <v>0</v>
          </cell>
          <cell r="L15">
            <v>0</v>
          </cell>
          <cell r="M15">
            <v>0</v>
          </cell>
          <cell r="N15">
            <v>0</v>
          </cell>
        </row>
        <row r="16">
          <cell r="B16">
            <v>1</v>
          </cell>
          <cell r="C16">
            <v>1</v>
          </cell>
          <cell r="D16">
            <v>1</v>
          </cell>
          <cell r="E16">
            <v>0</v>
          </cell>
          <cell r="F16">
            <v>0</v>
          </cell>
          <cell r="G16">
            <v>0</v>
          </cell>
          <cell r="H16">
            <v>0</v>
          </cell>
          <cell r="I16">
            <v>0</v>
          </cell>
          <cell r="J16">
            <v>0</v>
          </cell>
          <cell r="K16">
            <v>0</v>
          </cell>
          <cell r="L16">
            <v>0</v>
          </cell>
          <cell r="M16">
            <v>0</v>
          </cell>
          <cell r="N16">
            <v>0</v>
          </cell>
        </row>
      </sheetData>
      <sheetData sheetId="6">
        <row r="6">
          <cell r="B6">
            <v>103055</v>
          </cell>
          <cell r="C6">
            <v>91320</v>
          </cell>
          <cell r="D6">
            <v>3383</v>
          </cell>
          <cell r="E6">
            <v>87158</v>
          </cell>
          <cell r="F6">
            <v>779</v>
          </cell>
          <cell r="G6">
            <v>217</v>
          </cell>
          <cell r="H6">
            <v>2179</v>
          </cell>
          <cell r="I6">
            <v>1994</v>
          </cell>
          <cell r="J6">
            <v>470</v>
          </cell>
          <cell r="K6">
            <v>1524</v>
          </cell>
          <cell r="L6">
            <v>185</v>
          </cell>
          <cell r="M6">
            <v>3</v>
          </cell>
          <cell r="N6">
            <v>182</v>
          </cell>
          <cell r="O6">
            <v>9339</v>
          </cell>
        </row>
        <row r="7">
          <cell r="B7">
            <v>8146</v>
          </cell>
          <cell r="C7">
            <v>7195</v>
          </cell>
          <cell r="D7">
            <v>230</v>
          </cell>
          <cell r="E7">
            <v>6856</v>
          </cell>
          <cell r="F7">
            <v>109</v>
          </cell>
          <cell r="G7">
            <v>42</v>
          </cell>
          <cell r="H7">
            <v>251</v>
          </cell>
          <cell r="I7">
            <v>213</v>
          </cell>
          <cell r="J7">
            <v>49</v>
          </cell>
          <cell r="K7">
            <v>164</v>
          </cell>
          <cell r="L7">
            <v>38</v>
          </cell>
          <cell r="M7">
            <v>2</v>
          </cell>
          <cell r="N7">
            <v>36</v>
          </cell>
          <cell r="O7">
            <v>658</v>
          </cell>
        </row>
        <row r="8">
          <cell r="B8">
            <v>10190</v>
          </cell>
          <cell r="C8">
            <v>9013</v>
          </cell>
          <cell r="D8">
            <v>203</v>
          </cell>
          <cell r="E8">
            <v>8695</v>
          </cell>
          <cell r="F8">
            <v>115</v>
          </cell>
          <cell r="G8">
            <v>47</v>
          </cell>
          <cell r="H8">
            <v>240</v>
          </cell>
          <cell r="I8">
            <v>204</v>
          </cell>
          <cell r="J8">
            <v>45</v>
          </cell>
          <cell r="K8">
            <v>159</v>
          </cell>
          <cell r="L8">
            <v>36</v>
          </cell>
          <cell r="M8">
            <v>1</v>
          </cell>
          <cell r="N8">
            <v>35</v>
          </cell>
          <cell r="O8">
            <v>890</v>
          </cell>
        </row>
        <row r="9">
          <cell r="B9">
            <v>11374</v>
          </cell>
          <cell r="C9">
            <v>10361</v>
          </cell>
          <cell r="D9">
            <v>135</v>
          </cell>
          <cell r="E9">
            <v>10159</v>
          </cell>
          <cell r="F9">
            <v>67</v>
          </cell>
          <cell r="G9">
            <v>19</v>
          </cell>
          <cell r="H9">
            <v>223</v>
          </cell>
          <cell r="I9">
            <v>209</v>
          </cell>
          <cell r="J9">
            <v>43</v>
          </cell>
          <cell r="K9">
            <v>166</v>
          </cell>
          <cell r="L9">
            <v>14</v>
          </cell>
          <cell r="M9">
            <v>0</v>
          </cell>
          <cell r="N9">
            <v>14</v>
          </cell>
          <cell r="O9">
            <v>771</v>
          </cell>
        </row>
        <row r="10">
          <cell r="B10">
            <v>11601</v>
          </cell>
          <cell r="C10">
            <v>10527</v>
          </cell>
          <cell r="D10">
            <v>137</v>
          </cell>
          <cell r="E10">
            <v>10318</v>
          </cell>
          <cell r="F10">
            <v>72</v>
          </cell>
          <cell r="G10">
            <v>26</v>
          </cell>
          <cell r="H10">
            <v>193</v>
          </cell>
          <cell r="I10">
            <v>177</v>
          </cell>
          <cell r="J10">
            <v>36</v>
          </cell>
          <cell r="K10">
            <v>141</v>
          </cell>
          <cell r="L10">
            <v>16</v>
          </cell>
          <cell r="M10">
            <v>0</v>
          </cell>
          <cell r="N10">
            <v>16</v>
          </cell>
          <cell r="O10">
            <v>855</v>
          </cell>
        </row>
        <row r="11">
          <cell r="B11">
            <v>10825</v>
          </cell>
          <cell r="C11">
            <v>9816</v>
          </cell>
          <cell r="D11">
            <v>272</v>
          </cell>
          <cell r="E11">
            <v>9472</v>
          </cell>
          <cell r="F11">
            <v>72</v>
          </cell>
          <cell r="G11">
            <v>21</v>
          </cell>
          <cell r="H11">
            <v>233</v>
          </cell>
          <cell r="I11">
            <v>213</v>
          </cell>
          <cell r="J11">
            <v>45</v>
          </cell>
          <cell r="K11">
            <v>168</v>
          </cell>
          <cell r="L11">
            <v>20</v>
          </cell>
          <cell r="M11">
            <v>0</v>
          </cell>
          <cell r="N11">
            <v>20</v>
          </cell>
          <cell r="O11">
            <v>755</v>
          </cell>
        </row>
        <row r="12">
          <cell r="B12">
            <v>10686</v>
          </cell>
          <cell r="C12">
            <v>9679</v>
          </cell>
          <cell r="D12">
            <v>383</v>
          </cell>
          <cell r="E12">
            <v>9214</v>
          </cell>
          <cell r="F12">
            <v>82</v>
          </cell>
          <cell r="G12">
            <v>18</v>
          </cell>
          <cell r="H12">
            <v>213</v>
          </cell>
          <cell r="I12">
            <v>187</v>
          </cell>
          <cell r="J12">
            <v>36</v>
          </cell>
          <cell r="K12">
            <v>151</v>
          </cell>
          <cell r="L12">
            <v>26</v>
          </cell>
          <cell r="M12">
            <v>0</v>
          </cell>
          <cell r="N12">
            <v>26</v>
          </cell>
          <cell r="O12">
            <v>776</v>
          </cell>
        </row>
        <row r="13">
          <cell r="B13">
            <v>12947</v>
          </cell>
          <cell r="C13">
            <v>11803</v>
          </cell>
          <cell r="D13">
            <v>387</v>
          </cell>
          <cell r="E13">
            <v>11334</v>
          </cell>
          <cell r="F13">
            <v>82</v>
          </cell>
          <cell r="G13">
            <v>14</v>
          </cell>
          <cell r="H13">
            <v>205</v>
          </cell>
          <cell r="I13">
            <v>196</v>
          </cell>
          <cell r="J13">
            <v>44</v>
          </cell>
          <cell r="K13">
            <v>152</v>
          </cell>
          <cell r="L13">
            <v>9</v>
          </cell>
          <cell r="M13">
            <v>0</v>
          </cell>
          <cell r="N13">
            <v>9</v>
          </cell>
          <cell r="O13">
            <v>925</v>
          </cell>
        </row>
        <row r="14">
          <cell r="B14">
            <v>10799</v>
          </cell>
          <cell r="C14">
            <v>9584</v>
          </cell>
          <cell r="D14">
            <v>402</v>
          </cell>
          <cell r="E14">
            <v>9111</v>
          </cell>
          <cell r="F14">
            <v>71</v>
          </cell>
          <cell r="G14">
            <v>12</v>
          </cell>
          <cell r="H14">
            <v>236</v>
          </cell>
          <cell r="I14">
            <v>227</v>
          </cell>
          <cell r="J14">
            <v>58</v>
          </cell>
          <cell r="K14">
            <v>169</v>
          </cell>
          <cell r="L14">
            <v>9</v>
          </cell>
          <cell r="M14">
            <v>0</v>
          </cell>
          <cell r="N14">
            <v>9</v>
          </cell>
          <cell r="O14">
            <v>967</v>
          </cell>
        </row>
        <row r="15">
          <cell r="B15">
            <v>8280</v>
          </cell>
          <cell r="C15">
            <v>6915</v>
          </cell>
          <cell r="D15">
            <v>565</v>
          </cell>
          <cell r="E15">
            <v>6287</v>
          </cell>
          <cell r="F15">
            <v>63</v>
          </cell>
          <cell r="G15">
            <v>12</v>
          </cell>
          <cell r="H15">
            <v>227</v>
          </cell>
          <cell r="I15">
            <v>221</v>
          </cell>
          <cell r="J15">
            <v>69</v>
          </cell>
          <cell r="K15">
            <v>152</v>
          </cell>
          <cell r="L15">
            <v>6</v>
          </cell>
          <cell r="M15">
            <v>0</v>
          </cell>
          <cell r="N15">
            <v>6</v>
          </cell>
          <cell r="O15">
            <v>1126</v>
          </cell>
        </row>
        <row r="16">
          <cell r="B16">
            <v>8207</v>
          </cell>
          <cell r="C16">
            <v>6427</v>
          </cell>
          <cell r="D16">
            <v>669</v>
          </cell>
          <cell r="E16">
            <v>5712</v>
          </cell>
          <cell r="F16">
            <v>46</v>
          </cell>
          <cell r="G16">
            <v>6</v>
          </cell>
          <cell r="H16">
            <v>158</v>
          </cell>
          <cell r="I16">
            <v>147</v>
          </cell>
          <cell r="J16">
            <v>45</v>
          </cell>
          <cell r="K16">
            <v>102</v>
          </cell>
          <cell r="L16">
            <v>11</v>
          </cell>
          <cell r="M16">
            <v>0</v>
          </cell>
          <cell r="N16">
            <v>11</v>
          </cell>
          <cell r="O16">
            <v>1616</v>
          </cell>
        </row>
      </sheetData>
      <sheetData sheetId="7">
        <row r="6">
          <cell r="B6">
            <v>57443</v>
          </cell>
          <cell r="C6">
            <v>53483</v>
          </cell>
          <cell r="D6">
            <v>894</v>
          </cell>
          <cell r="E6">
            <v>52073</v>
          </cell>
          <cell r="F6">
            <v>516</v>
          </cell>
          <cell r="G6">
            <v>314</v>
          </cell>
          <cell r="H6">
            <v>966</v>
          </cell>
          <cell r="I6">
            <v>919</v>
          </cell>
          <cell r="J6">
            <v>314</v>
          </cell>
          <cell r="K6">
            <v>605</v>
          </cell>
          <cell r="L6">
            <v>47</v>
          </cell>
          <cell r="M6">
            <v>0</v>
          </cell>
          <cell r="N6">
            <v>47</v>
          </cell>
          <cell r="O6">
            <v>2680</v>
          </cell>
        </row>
        <row r="7">
          <cell r="B7">
            <v>4764</v>
          </cell>
          <cell r="C7">
            <v>4317</v>
          </cell>
          <cell r="D7">
            <v>109</v>
          </cell>
          <cell r="E7">
            <v>4069</v>
          </cell>
          <cell r="F7">
            <v>139</v>
          </cell>
          <cell r="G7">
            <v>36</v>
          </cell>
          <cell r="H7">
            <v>98</v>
          </cell>
          <cell r="I7">
            <v>88</v>
          </cell>
          <cell r="J7">
            <v>29</v>
          </cell>
          <cell r="K7">
            <v>59</v>
          </cell>
          <cell r="L7">
            <v>10</v>
          </cell>
          <cell r="M7">
            <v>0</v>
          </cell>
          <cell r="N7">
            <v>10</v>
          </cell>
          <cell r="O7">
            <v>313</v>
          </cell>
        </row>
        <row r="8">
          <cell r="B8">
            <v>5191</v>
          </cell>
          <cell r="C8">
            <v>4780</v>
          </cell>
          <cell r="D8">
            <v>86</v>
          </cell>
          <cell r="E8">
            <v>4608</v>
          </cell>
          <cell r="F8">
            <v>86</v>
          </cell>
          <cell r="G8">
            <v>30</v>
          </cell>
          <cell r="H8">
            <v>105</v>
          </cell>
          <cell r="I8">
            <v>94</v>
          </cell>
          <cell r="J8">
            <v>39</v>
          </cell>
          <cell r="K8">
            <v>55</v>
          </cell>
          <cell r="L8">
            <v>11</v>
          </cell>
          <cell r="M8">
            <v>0</v>
          </cell>
          <cell r="N8">
            <v>11</v>
          </cell>
          <cell r="O8">
            <v>276</v>
          </cell>
        </row>
        <row r="9">
          <cell r="B9">
            <v>6000</v>
          </cell>
          <cell r="C9">
            <v>5560</v>
          </cell>
          <cell r="D9">
            <v>76</v>
          </cell>
          <cell r="E9">
            <v>5431</v>
          </cell>
          <cell r="F9">
            <v>53</v>
          </cell>
          <cell r="G9">
            <v>44</v>
          </cell>
          <cell r="H9">
            <v>99</v>
          </cell>
          <cell r="I9">
            <v>94</v>
          </cell>
          <cell r="J9">
            <v>39</v>
          </cell>
          <cell r="K9">
            <v>55</v>
          </cell>
          <cell r="L9">
            <v>5</v>
          </cell>
          <cell r="M9">
            <v>0</v>
          </cell>
          <cell r="N9">
            <v>5</v>
          </cell>
          <cell r="O9">
            <v>297</v>
          </cell>
        </row>
        <row r="10">
          <cell r="B10">
            <v>6173</v>
          </cell>
          <cell r="C10">
            <v>5774</v>
          </cell>
          <cell r="D10">
            <v>83</v>
          </cell>
          <cell r="E10">
            <v>5631</v>
          </cell>
          <cell r="F10">
            <v>60</v>
          </cell>
          <cell r="G10">
            <v>33</v>
          </cell>
          <cell r="H10">
            <v>88</v>
          </cell>
          <cell r="I10">
            <v>86</v>
          </cell>
          <cell r="J10">
            <v>29</v>
          </cell>
          <cell r="K10">
            <v>57</v>
          </cell>
          <cell r="L10">
            <v>2</v>
          </cell>
          <cell r="M10">
            <v>0</v>
          </cell>
          <cell r="N10">
            <v>2</v>
          </cell>
          <cell r="O10">
            <v>278</v>
          </cell>
        </row>
        <row r="11">
          <cell r="B11">
            <v>5615</v>
          </cell>
          <cell r="C11">
            <v>5213</v>
          </cell>
          <cell r="D11">
            <v>83</v>
          </cell>
          <cell r="E11">
            <v>5084</v>
          </cell>
          <cell r="F11">
            <v>46</v>
          </cell>
          <cell r="G11">
            <v>27</v>
          </cell>
          <cell r="H11">
            <v>99</v>
          </cell>
          <cell r="I11">
            <v>96</v>
          </cell>
          <cell r="J11">
            <v>35</v>
          </cell>
          <cell r="K11">
            <v>61</v>
          </cell>
          <cell r="L11">
            <v>3</v>
          </cell>
          <cell r="M11">
            <v>0</v>
          </cell>
          <cell r="N11">
            <v>3</v>
          </cell>
          <cell r="O11">
            <v>276</v>
          </cell>
        </row>
        <row r="12">
          <cell r="B12">
            <v>5380</v>
          </cell>
          <cell r="C12">
            <v>5014</v>
          </cell>
          <cell r="D12">
            <v>82</v>
          </cell>
          <cell r="E12">
            <v>4906</v>
          </cell>
          <cell r="F12">
            <v>26</v>
          </cell>
          <cell r="G12">
            <v>26</v>
          </cell>
          <cell r="H12">
            <v>107</v>
          </cell>
          <cell r="I12">
            <v>104</v>
          </cell>
          <cell r="J12">
            <v>32</v>
          </cell>
          <cell r="K12">
            <v>72</v>
          </cell>
          <cell r="L12">
            <v>3</v>
          </cell>
          <cell r="M12">
            <v>0</v>
          </cell>
          <cell r="N12">
            <v>3</v>
          </cell>
          <cell r="O12">
            <v>233</v>
          </cell>
        </row>
        <row r="13">
          <cell r="B13">
            <v>6719</v>
          </cell>
          <cell r="C13">
            <v>6371</v>
          </cell>
          <cell r="D13">
            <v>69</v>
          </cell>
          <cell r="E13">
            <v>6278</v>
          </cell>
          <cell r="F13">
            <v>24</v>
          </cell>
          <cell r="G13">
            <v>29</v>
          </cell>
          <cell r="H13">
            <v>101</v>
          </cell>
          <cell r="I13">
            <v>97</v>
          </cell>
          <cell r="J13">
            <v>31</v>
          </cell>
          <cell r="K13">
            <v>66</v>
          </cell>
          <cell r="L13">
            <v>4</v>
          </cell>
          <cell r="M13">
            <v>0</v>
          </cell>
          <cell r="N13">
            <v>4</v>
          </cell>
          <cell r="O13">
            <v>218</v>
          </cell>
        </row>
        <row r="14">
          <cell r="B14">
            <v>7063</v>
          </cell>
          <cell r="C14">
            <v>6728</v>
          </cell>
          <cell r="D14">
            <v>83</v>
          </cell>
          <cell r="E14">
            <v>6617</v>
          </cell>
          <cell r="F14">
            <v>28</v>
          </cell>
          <cell r="G14">
            <v>33</v>
          </cell>
          <cell r="H14">
            <v>83</v>
          </cell>
          <cell r="I14">
            <v>81</v>
          </cell>
          <cell r="J14">
            <v>26</v>
          </cell>
          <cell r="K14">
            <v>55</v>
          </cell>
          <cell r="L14">
            <v>2</v>
          </cell>
          <cell r="M14">
            <v>0</v>
          </cell>
          <cell r="N14">
            <v>2</v>
          </cell>
          <cell r="O14">
            <v>219</v>
          </cell>
        </row>
        <row r="15">
          <cell r="B15">
            <v>6040</v>
          </cell>
          <cell r="C15">
            <v>5621</v>
          </cell>
          <cell r="D15">
            <v>111</v>
          </cell>
          <cell r="E15">
            <v>5473</v>
          </cell>
          <cell r="F15">
            <v>37</v>
          </cell>
          <cell r="G15">
            <v>38</v>
          </cell>
          <cell r="H15">
            <v>92</v>
          </cell>
          <cell r="I15">
            <v>89</v>
          </cell>
          <cell r="J15">
            <v>25</v>
          </cell>
          <cell r="K15">
            <v>64</v>
          </cell>
          <cell r="L15">
            <v>3</v>
          </cell>
          <cell r="M15">
            <v>0</v>
          </cell>
          <cell r="N15">
            <v>3</v>
          </cell>
          <cell r="O15">
            <v>289</v>
          </cell>
        </row>
        <row r="16">
          <cell r="B16">
            <v>4498</v>
          </cell>
          <cell r="C16">
            <v>4105</v>
          </cell>
          <cell r="D16">
            <v>112</v>
          </cell>
          <cell r="E16">
            <v>3976</v>
          </cell>
          <cell r="F16">
            <v>17</v>
          </cell>
          <cell r="G16">
            <v>18</v>
          </cell>
          <cell r="H16">
            <v>94</v>
          </cell>
          <cell r="I16">
            <v>90</v>
          </cell>
          <cell r="J16">
            <v>29</v>
          </cell>
          <cell r="K16">
            <v>61</v>
          </cell>
          <cell r="L16">
            <v>4</v>
          </cell>
          <cell r="M16">
            <v>0</v>
          </cell>
          <cell r="N16">
            <v>4</v>
          </cell>
          <cell r="O16">
            <v>281</v>
          </cell>
        </row>
      </sheetData>
      <sheetData sheetId="8">
        <row r="6">
          <cell r="B6">
            <v>130825</v>
          </cell>
          <cell r="C6">
            <v>112251</v>
          </cell>
          <cell r="D6">
            <v>80350</v>
          </cell>
          <cell r="E6">
            <v>31901</v>
          </cell>
          <cell r="F6">
            <v>609</v>
          </cell>
          <cell r="G6">
            <v>377</v>
          </cell>
          <cell r="H6">
            <v>9</v>
          </cell>
          <cell r="I6">
            <v>368</v>
          </cell>
          <cell r="J6">
            <v>232</v>
          </cell>
          <cell r="K6">
            <v>0</v>
          </cell>
          <cell r="L6">
            <v>232</v>
          </cell>
          <cell r="M6">
            <v>17965</v>
          </cell>
        </row>
        <row r="7">
          <cell r="B7">
            <v>5422</v>
          </cell>
          <cell r="C7">
            <v>4862</v>
          </cell>
          <cell r="D7">
            <v>2301</v>
          </cell>
          <cell r="E7">
            <v>2561</v>
          </cell>
          <cell r="F7">
            <v>70</v>
          </cell>
          <cell r="G7">
            <v>43</v>
          </cell>
          <cell r="H7">
            <v>0</v>
          </cell>
          <cell r="I7">
            <v>43</v>
          </cell>
          <cell r="J7">
            <v>27</v>
          </cell>
          <cell r="K7">
            <v>0</v>
          </cell>
          <cell r="L7">
            <v>27</v>
          </cell>
          <cell r="M7">
            <v>490</v>
          </cell>
        </row>
        <row r="8">
          <cell r="B8">
            <v>9430</v>
          </cell>
          <cell r="C8">
            <v>7602</v>
          </cell>
          <cell r="D8">
            <v>4138</v>
          </cell>
          <cell r="E8">
            <v>3464</v>
          </cell>
          <cell r="F8">
            <v>65</v>
          </cell>
          <cell r="G8">
            <v>32</v>
          </cell>
          <cell r="H8">
            <v>0</v>
          </cell>
          <cell r="I8">
            <v>32</v>
          </cell>
          <cell r="J8">
            <v>33</v>
          </cell>
          <cell r="K8">
            <v>0</v>
          </cell>
          <cell r="L8">
            <v>33</v>
          </cell>
          <cell r="M8">
            <v>1763</v>
          </cell>
        </row>
        <row r="9">
          <cell r="B9">
            <v>15252</v>
          </cell>
          <cell r="C9">
            <v>13096</v>
          </cell>
          <cell r="D9">
            <v>9727</v>
          </cell>
          <cell r="E9">
            <v>3369</v>
          </cell>
          <cell r="F9">
            <v>72</v>
          </cell>
          <cell r="G9">
            <v>36</v>
          </cell>
          <cell r="H9">
            <v>1</v>
          </cell>
          <cell r="I9">
            <v>35</v>
          </cell>
          <cell r="J9">
            <v>36</v>
          </cell>
          <cell r="K9">
            <v>0</v>
          </cell>
          <cell r="L9">
            <v>36</v>
          </cell>
          <cell r="M9">
            <v>2084</v>
          </cell>
        </row>
        <row r="10">
          <cell r="B10">
            <v>16133</v>
          </cell>
          <cell r="C10">
            <v>15027</v>
          </cell>
          <cell r="D10">
            <v>11418</v>
          </cell>
          <cell r="E10">
            <v>3609</v>
          </cell>
          <cell r="F10">
            <v>64</v>
          </cell>
          <cell r="G10">
            <v>37</v>
          </cell>
          <cell r="H10">
            <v>0</v>
          </cell>
          <cell r="I10">
            <v>37</v>
          </cell>
          <cell r="J10">
            <v>27</v>
          </cell>
          <cell r="K10">
            <v>0</v>
          </cell>
          <cell r="L10">
            <v>27</v>
          </cell>
          <cell r="M10">
            <v>1042</v>
          </cell>
        </row>
        <row r="11">
          <cell r="B11">
            <v>18094</v>
          </cell>
          <cell r="C11">
            <v>17078</v>
          </cell>
          <cell r="D11">
            <v>12767</v>
          </cell>
          <cell r="E11">
            <v>4311</v>
          </cell>
          <cell r="F11">
            <v>40</v>
          </cell>
          <cell r="G11">
            <v>28</v>
          </cell>
          <cell r="H11">
            <v>2</v>
          </cell>
          <cell r="I11">
            <v>26</v>
          </cell>
          <cell r="J11">
            <v>12</v>
          </cell>
          <cell r="K11">
            <v>0</v>
          </cell>
          <cell r="L11">
            <v>12</v>
          </cell>
          <cell r="M11">
            <v>976</v>
          </cell>
        </row>
        <row r="12">
          <cell r="B12">
            <v>13322</v>
          </cell>
          <cell r="C12">
            <v>12295</v>
          </cell>
          <cell r="D12">
            <v>9210</v>
          </cell>
          <cell r="E12">
            <v>3085</v>
          </cell>
          <cell r="F12">
            <v>49</v>
          </cell>
          <cell r="G12">
            <v>28</v>
          </cell>
          <cell r="H12">
            <v>2</v>
          </cell>
          <cell r="I12">
            <v>26</v>
          </cell>
          <cell r="J12">
            <v>21</v>
          </cell>
          <cell r="K12">
            <v>0</v>
          </cell>
          <cell r="L12">
            <v>21</v>
          </cell>
          <cell r="M12">
            <v>978</v>
          </cell>
        </row>
        <row r="13">
          <cell r="B13">
            <v>12183</v>
          </cell>
          <cell r="C13">
            <v>10380</v>
          </cell>
          <cell r="D13">
            <v>6552</v>
          </cell>
          <cell r="E13">
            <v>3828</v>
          </cell>
          <cell r="F13">
            <v>51</v>
          </cell>
          <cell r="G13">
            <v>33</v>
          </cell>
          <cell r="H13">
            <v>1</v>
          </cell>
          <cell r="I13">
            <v>32</v>
          </cell>
          <cell r="J13">
            <v>18</v>
          </cell>
          <cell r="K13">
            <v>0</v>
          </cell>
          <cell r="L13">
            <v>18</v>
          </cell>
          <cell r="M13">
            <v>1752</v>
          </cell>
        </row>
        <row r="14">
          <cell r="B14">
            <v>14396</v>
          </cell>
          <cell r="C14">
            <v>10992</v>
          </cell>
          <cell r="D14">
            <v>6997</v>
          </cell>
          <cell r="E14">
            <v>3995</v>
          </cell>
          <cell r="F14">
            <v>75</v>
          </cell>
          <cell r="G14">
            <v>50</v>
          </cell>
          <cell r="H14">
            <v>2</v>
          </cell>
          <cell r="I14">
            <v>48</v>
          </cell>
          <cell r="J14">
            <v>25</v>
          </cell>
          <cell r="K14">
            <v>0</v>
          </cell>
          <cell r="L14">
            <v>25</v>
          </cell>
          <cell r="M14">
            <v>3329</v>
          </cell>
        </row>
        <row r="15">
          <cell r="B15">
            <v>14051</v>
          </cell>
          <cell r="C15">
            <v>10741</v>
          </cell>
          <cell r="D15">
            <v>8227</v>
          </cell>
          <cell r="E15">
            <v>2514</v>
          </cell>
          <cell r="F15">
            <v>61</v>
          </cell>
          <cell r="G15">
            <v>52</v>
          </cell>
          <cell r="H15">
            <v>1</v>
          </cell>
          <cell r="I15">
            <v>51</v>
          </cell>
          <cell r="J15">
            <v>9</v>
          </cell>
          <cell r="K15">
            <v>0</v>
          </cell>
          <cell r="L15">
            <v>9</v>
          </cell>
          <cell r="M15">
            <v>3249</v>
          </cell>
        </row>
        <row r="16">
          <cell r="B16">
            <v>12542</v>
          </cell>
          <cell r="C16">
            <v>10178</v>
          </cell>
          <cell r="D16">
            <v>9013</v>
          </cell>
          <cell r="E16">
            <v>1165</v>
          </cell>
          <cell r="F16">
            <v>62</v>
          </cell>
          <cell r="G16">
            <v>38</v>
          </cell>
          <cell r="H16">
            <v>0</v>
          </cell>
          <cell r="I16">
            <v>38</v>
          </cell>
          <cell r="J16">
            <v>24</v>
          </cell>
          <cell r="K16">
            <v>0</v>
          </cell>
          <cell r="L16">
            <v>24</v>
          </cell>
          <cell r="M16">
            <v>2302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1">
          <cell r="B11">
            <v>310960</v>
          </cell>
          <cell r="C11">
            <v>305245</v>
          </cell>
        </row>
        <row r="12">
          <cell r="B12">
            <v>311929</v>
          </cell>
          <cell r="C12">
            <v>307094</v>
          </cell>
        </row>
        <row r="13">
          <cell r="B13">
            <v>315621</v>
          </cell>
          <cell r="C13">
            <v>312985</v>
          </cell>
        </row>
        <row r="14">
          <cell r="B14">
            <v>870964</v>
          </cell>
          <cell r="C14">
            <v>870951</v>
          </cell>
        </row>
        <row r="15">
          <cell r="B15">
            <v>875940</v>
          </cell>
          <cell r="C15">
            <v>875940</v>
          </cell>
        </row>
        <row r="16">
          <cell r="B16">
            <v>880565</v>
          </cell>
          <cell r="C16">
            <v>880565</v>
          </cell>
        </row>
        <row r="17">
          <cell r="B17">
            <v>881250</v>
          </cell>
          <cell r="C17">
            <v>880950</v>
          </cell>
        </row>
        <row r="18">
          <cell r="B18">
            <v>1564809</v>
          </cell>
          <cell r="C18">
            <v>1564508</v>
          </cell>
        </row>
        <row r="19">
          <cell r="B19">
            <v>170097</v>
          </cell>
          <cell r="C19">
            <v>169797</v>
          </cell>
        </row>
      </sheetData>
      <sheetData sheetId="63">
        <row r="11">
          <cell r="B11">
            <v>88</v>
          </cell>
          <cell r="C11">
            <v>86</v>
          </cell>
          <cell r="D11">
            <v>80</v>
          </cell>
        </row>
        <row r="12">
          <cell r="B12">
            <v>88</v>
          </cell>
          <cell r="C12">
            <v>86</v>
          </cell>
          <cell r="D12">
            <v>79</v>
          </cell>
        </row>
        <row r="13">
          <cell r="B13">
            <v>88</v>
          </cell>
          <cell r="C13">
            <v>86</v>
          </cell>
          <cell r="D13">
            <v>81</v>
          </cell>
        </row>
        <row r="14">
          <cell r="B14">
            <v>88</v>
          </cell>
          <cell r="C14">
            <v>86</v>
          </cell>
          <cell r="D14">
            <v>82</v>
          </cell>
        </row>
        <row r="15">
          <cell r="B15">
            <v>88</v>
          </cell>
          <cell r="C15">
            <v>85</v>
          </cell>
          <cell r="D15">
            <v>84</v>
          </cell>
        </row>
        <row r="16">
          <cell r="B16">
            <v>88</v>
          </cell>
          <cell r="C16">
            <v>85</v>
          </cell>
          <cell r="D16">
            <v>84</v>
          </cell>
        </row>
        <row r="17">
          <cell r="B17">
            <v>88</v>
          </cell>
          <cell r="C17">
            <v>85</v>
          </cell>
          <cell r="D17">
            <v>84</v>
          </cell>
        </row>
        <row r="18">
          <cell r="B18">
            <v>88</v>
          </cell>
          <cell r="C18">
            <v>85</v>
          </cell>
          <cell r="D18">
            <v>81</v>
          </cell>
        </row>
        <row r="19">
          <cell r="B19">
            <v>88</v>
          </cell>
          <cell r="C19">
            <v>85</v>
          </cell>
          <cell r="D19">
            <v>83</v>
          </cell>
        </row>
      </sheetData>
      <sheetData sheetId="64"/>
      <sheetData sheetId="65"/>
      <sheetData sheetId="66"/>
      <sheetData sheetId="6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40支出(政)(政府別)-性別"/>
      <sheetName val="41支出(公)(政府別)-性別"/>
      <sheetName val="42支出(教)(政府別)-性別"/>
      <sheetName val="49定撥(當年度)-OK"/>
    </sheetNames>
    <sheetDataSet>
      <sheetData sheetId="0"/>
      <sheetData sheetId="1"/>
      <sheetData sheetId="2"/>
      <sheetData sheetId="3"/>
      <sheetData sheetId="4">
        <row r="16">
          <cell r="B16">
            <v>4154</v>
          </cell>
        </row>
      </sheetData>
      <sheetData sheetId="5">
        <row r="6">
          <cell r="N6">
            <v>3</v>
          </cell>
        </row>
      </sheetData>
      <sheetData sheetId="6">
        <row r="6">
          <cell r="O6">
            <v>9610</v>
          </cell>
        </row>
      </sheetData>
      <sheetData sheetId="7">
        <row r="6">
          <cell r="O6">
            <v>2541</v>
          </cell>
        </row>
      </sheetData>
      <sheetData sheetId="8">
        <row r="6">
          <cell r="M6">
            <v>20526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40支出(政)(政府別)-性別"/>
      <sheetName val="41支出(公)(政府別)-性別"/>
      <sheetName val="42支出(教)(政府別)-性別"/>
      <sheetName val="49定撥(當年度)-OK"/>
    </sheetNames>
    <sheetDataSet>
      <sheetData sheetId="0"/>
      <sheetData sheetId="1"/>
      <sheetData sheetId="2"/>
      <sheetData sheetId="3"/>
      <sheetData sheetId="4"/>
      <sheetData sheetId="5"/>
      <sheetData sheetId="6">
        <row r="17">
          <cell r="B17">
            <v>8435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機關數"/>
      <sheetName val="2人數"/>
      <sheetName val="3歷年退休"/>
      <sheetName val="4歷年撫卹"/>
      <sheetName val="5歷年離退 "/>
      <sheetName val="6歷年退離(政) "/>
      <sheetName val="7歷年退離(公)"/>
      <sheetName val="8歷年退離(教)"/>
      <sheetName val="9歷年退離(軍)"/>
      <sheetName val="10當年退離(政)"/>
      <sheetName val="11當年退離(公)"/>
      <sheetName val="12當年退離(教)"/>
      <sheetName val="13當年退休"/>
      <sheetName val="14退休(政)"/>
      <sheetName val="15退休(公)"/>
      <sheetName val="16退休(教)"/>
      <sheetName val="17退伍(軍) "/>
      <sheetName val="18當年撫卹(總)"/>
      <sheetName val="19撫卹(政)"/>
      <sheetName val="20撫卹(公) "/>
      <sheetName val="21撫卹(教)"/>
      <sheetName val="22撫卹(軍) "/>
      <sheetName val="23當年離退"/>
      <sheetName val="24退休平均俸額"/>
      <sheetName val="25撫卹平均俸額"/>
      <sheetName val="26參加者平均俸額 "/>
      <sheetName val="27平均俸額(總表) "/>
      <sheetName val="28平均俸額(一次退) "/>
      <sheetName val="29平均俸額(月退)"/>
      <sheetName val="30退休平均年齡"/>
      <sheetName val="31平均年齡(政) "/>
      <sheetName val="32平均年齡(公)"/>
      <sheetName val="33平均年齡(教)"/>
      <sheetName val="34平均年齡(軍)"/>
      <sheetName val="35一次撫慰金人數"/>
      <sheetName val="36配偶平均年齡"/>
      <sheetName val="37父母平均年齡"/>
      <sheetName val="38子女平均年齡"/>
      <sheetName val="39作業收支(累計)"/>
      <sheetName val="40支出(政)(政府別)"/>
      <sheetName val="41支出(公)(政府別)"/>
      <sheetName val="42支出(教)(政府別)"/>
      <sheetName val="43支出(總) "/>
      <sheetName val="44支出(政) "/>
      <sheetName val="45支出(公) "/>
      <sheetName val="46支出(教) "/>
      <sheetName val="47支出(軍) "/>
      <sheetName val="48定撥(歷年)o "/>
      <sheetName val="49定撥(當年度)o"/>
      <sheetName val="50規劃表"/>
      <sheetName val="51規劃比較表"/>
      <sheetName val="52運用收益 (含實際) "/>
      <sheetName val="53平衡表"/>
      <sheetName val="54資產明細"/>
      <sheetName val="55收支表"/>
      <sheetName val="56預決算"/>
      <sheetName val="57委託人權益"/>
      <sheetName val="附錄1提撥進度表"/>
      <sheetName val="精算基礎(1)"/>
      <sheetName val="精算基礎(2)"/>
      <sheetName val="附錄2國內委託經營(彙總)"/>
      <sheetName val="附錄3國外委託經營(彙總) "/>
      <sheetName val="附錄4行政經費"/>
      <sheetName val="附錄5員額配置"/>
      <sheetName val="附錄6教育程度"/>
      <sheetName val="附錄7考試類別"/>
      <sheetName val="附錄8年齡分布"/>
      <sheetName val="附錄9任職年資"/>
    </sheetNames>
    <sheetDataSet>
      <sheetData sheetId="0">
        <row r="10">
          <cell r="B10">
            <v>7856</v>
          </cell>
        </row>
      </sheetData>
      <sheetData sheetId="1">
        <row r="11">
          <cell r="B11">
            <v>629903</v>
          </cell>
        </row>
      </sheetData>
      <sheetData sheetId="2">
        <row r="7">
          <cell r="B7">
            <v>16455</v>
          </cell>
        </row>
      </sheetData>
      <sheetData sheetId="3">
        <row r="7">
          <cell r="B7">
            <v>420</v>
          </cell>
        </row>
      </sheetData>
      <sheetData sheetId="4">
        <row r="7">
          <cell r="B7">
            <v>1462</v>
          </cell>
        </row>
      </sheetData>
      <sheetData sheetId="5">
        <row r="8">
          <cell r="B8">
            <v>5</v>
          </cell>
        </row>
      </sheetData>
      <sheetData sheetId="6">
        <row r="8">
          <cell r="B8">
            <v>8146</v>
          </cell>
        </row>
      </sheetData>
      <sheetData sheetId="7">
        <row r="8">
          <cell r="B8">
            <v>4764</v>
          </cell>
        </row>
      </sheetData>
      <sheetData sheetId="8">
        <row r="8">
          <cell r="B8">
            <v>5422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B6">
            <v>0</v>
          </cell>
        </row>
      </sheetData>
      <sheetData sheetId="26">
        <row r="7">
          <cell r="B7">
            <v>78813</v>
          </cell>
        </row>
      </sheetData>
      <sheetData sheetId="27">
        <row r="7">
          <cell r="B7">
            <v>51480</v>
          </cell>
        </row>
      </sheetData>
      <sheetData sheetId="28">
        <row r="7">
          <cell r="B7">
            <v>92480</v>
          </cell>
        </row>
      </sheetData>
      <sheetData sheetId="29">
        <row r="7">
          <cell r="B7">
            <v>49.22</v>
          </cell>
        </row>
      </sheetData>
      <sheetData sheetId="30">
        <row r="6">
          <cell r="B6">
            <v>59.67</v>
          </cell>
        </row>
      </sheetData>
      <sheetData sheetId="31">
        <row r="6">
          <cell r="B6">
            <v>55.19</v>
          </cell>
        </row>
      </sheetData>
      <sheetData sheetId="32">
        <row r="6">
          <cell r="B6">
            <v>54.06</v>
          </cell>
        </row>
      </sheetData>
      <sheetData sheetId="33">
        <row r="6">
          <cell r="B6">
            <v>35.99</v>
          </cell>
        </row>
      </sheetData>
      <sheetData sheetId="34">
        <row r="5">
          <cell r="B5">
            <v>0</v>
          </cell>
        </row>
      </sheetData>
      <sheetData sheetId="35">
        <row r="7">
          <cell r="B7">
            <v>2</v>
          </cell>
          <cell r="C7">
            <v>69</v>
          </cell>
          <cell r="D7">
            <v>395</v>
          </cell>
          <cell r="E7">
            <v>61.42</v>
          </cell>
          <cell r="F7">
            <v>247</v>
          </cell>
          <cell r="G7">
            <v>61.79</v>
          </cell>
          <cell r="H7">
            <v>48</v>
          </cell>
          <cell r="I7">
            <v>47.48</v>
          </cell>
        </row>
        <row r="8">
          <cell r="B8">
            <v>0</v>
          </cell>
          <cell r="C8">
            <v>0</v>
          </cell>
          <cell r="D8">
            <v>474</v>
          </cell>
          <cell r="E8">
            <v>61.5</v>
          </cell>
          <cell r="F8">
            <v>277</v>
          </cell>
          <cell r="G8">
            <v>61.83</v>
          </cell>
          <cell r="H8">
            <v>58</v>
          </cell>
          <cell r="I8">
            <v>52.53</v>
          </cell>
        </row>
        <row r="9">
          <cell r="B9">
            <v>0</v>
          </cell>
          <cell r="C9">
            <v>0</v>
          </cell>
          <cell r="D9">
            <v>495</v>
          </cell>
          <cell r="E9">
            <v>63.284848484848482</v>
          </cell>
          <cell r="F9">
            <v>291</v>
          </cell>
          <cell r="G9">
            <v>64.099699999999999</v>
          </cell>
          <cell r="H9">
            <v>63</v>
          </cell>
          <cell r="I9">
            <v>50.460299999999997</v>
          </cell>
        </row>
        <row r="10">
          <cell r="B10">
            <v>3</v>
          </cell>
          <cell r="C10">
            <v>79.333333333333329</v>
          </cell>
          <cell r="D10">
            <v>572</v>
          </cell>
          <cell r="E10">
            <v>63.88111888111888</v>
          </cell>
          <cell r="F10">
            <v>334</v>
          </cell>
          <cell r="G10">
            <v>63.451048951049003</v>
          </cell>
          <cell r="H10">
            <v>74</v>
          </cell>
          <cell r="I10">
            <v>50.702702702702702</v>
          </cell>
        </row>
        <row r="11">
          <cell r="B11">
            <v>1</v>
          </cell>
          <cell r="C11">
            <v>76</v>
          </cell>
          <cell r="D11">
            <v>570</v>
          </cell>
          <cell r="E11">
            <v>64.647368421052605</v>
          </cell>
          <cell r="F11">
            <v>334</v>
          </cell>
          <cell r="G11">
            <v>65.299401197604794</v>
          </cell>
          <cell r="H11">
            <v>78</v>
          </cell>
          <cell r="I11">
            <v>51.961538461538503</v>
          </cell>
        </row>
        <row r="12">
          <cell r="B12">
            <v>3</v>
          </cell>
          <cell r="C12">
            <v>75</v>
          </cell>
          <cell r="D12">
            <v>759</v>
          </cell>
          <cell r="E12">
            <v>64.640316205533594</v>
          </cell>
          <cell r="F12">
            <v>388</v>
          </cell>
          <cell r="G12">
            <v>65.487113402061894</v>
          </cell>
          <cell r="H12">
            <v>101</v>
          </cell>
          <cell r="I12">
            <v>51.762376237623798</v>
          </cell>
        </row>
        <row r="13">
          <cell r="B13">
            <v>2</v>
          </cell>
          <cell r="C13">
            <v>71</v>
          </cell>
          <cell r="D13">
            <v>718</v>
          </cell>
          <cell r="E13">
            <v>65.714484679665702</v>
          </cell>
          <cell r="F13">
            <v>469</v>
          </cell>
          <cell r="G13">
            <v>66.349680170575695</v>
          </cell>
          <cell r="H13">
            <v>87</v>
          </cell>
          <cell r="I13">
            <v>54.6666666666667</v>
          </cell>
        </row>
        <row r="14">
          <cell r="B14">
            <v>3</v>
          </cell>
          <cell r="C14">
            <v>78.33</v>
          </cell>
          <cell r="D14">
            <v>852</v>
          </cell>
          <cell r="E14">
            <v>66.67</v>
          </cell>
          <cell r="F14">
            <v>479</v>
          </cell>
          <cell r="G14">
            <v>67.02</v>
          </cell>
          <cell r="H14">
            <v>110</v>
          </cell>
          <cell r="I14">
            <v>53.8</v>
          </cell>
        </row>
        <row r="15">
          <cell r="B15">
            <v>0</v>
          </cell>
          <cell r="C15">
            <v>0</v>
          </cell>
          <cell r="D15">
            <v>914</v>
          </cell>
          <cell r="E15">
            <v>66.705689277899296</v>
          </cell>
          <cell r="F15">
            <v>554</v>
          </cell>
          <cell r="G15">
            <v>68.812274368231002</v>
          </cell>
          <cell r="H15">
            <v>124</v>
          </cell>
          <cell r="I15">
            <v>55.2661290322581</v>
          </cell>
        </row>
      </sheetData>
      <sheetData sheetId="36">
        <row r="7">
          <cell r="B7">
            <v>0</v>
          </cell>
          <cell r="C7">
            <v>0</v>
          </cell>
          <cell r="D7">
            <v>1</v>
          </cell>
          <cell r="E7">
            <v>62</v>
          </cell>
          <cell r="F7">
            <v>4</v>
          </cell>
          <cell r="G7">
            <v>73.75</v>
          </cell>
          <cell r="H7">
            <v>1</v>
          </cell>
          <cell r="I7">
            <v>70</v>
          </cell>
        </row>
        <row r="8">
          <cell r="B8">
            <v>0</v>
          </cell>
          <cell r="C8">
            <v>0</v>
          </cell>
          <cell r="D8">
            <v>4</v>
          </cell>
          <cell r="E8">
            <v>72.75</v>
          </cell>
          <cell r="F8">
            <v>2</v>
          </cell>
          <cell r="G8">
            <v>79</v>
          </cell>
          <cell r="H8">
            <v>3</v>
          </cell>
          <cell r="I8">
            <v>73.67</v>
          </cell>
        </row>
        <row r="9">
          <cell r="B9">
            <v>0</v>
          </cell>
          <cell r="C9">
            <v>0</v>
          </cell>
          <cell r="D9">
            <v>2</v>
          </cell>
          <cell r="E9">
            <v>86</v>
          </cell>
          <cell r="F9">
            <v>2</v>
          </cell>
          <cell r="G9">
            <v>78.5</v>
          </cell>
          <cell r="H9">
            <v>6</v>
          </cell>
          <cell r="I9">
            <v>67.5</v>
          </cell>
        </row>
        <row r="10">
          <cell r="B10">
            <v>0</v>
          </cell>
          <cell r="C10">
            <v>0</v>
          </cell>
          <cell r="D10">
            <v>7</v>
          </cell>
          <cell r="E10">
            <v>82.142857142857096</v>
          </cell>
          <cell r="F10">
            <v>3</v>
          </cell>
          <cell r="G10">
            <v>86.6666666666667</v>
          </cell>
          <cell r="H10">
            <v>1</v>
          </cell>
          <cell r="I10">
            <v>65</v>
          </cell>
        </row>
        <row r="11">
          <cell r="B11">
            <v>0</v>
          </cell>
          <cell r="C11">
            <v>0</v>
          </cell>
          <cell r="D11">
            <v>3</v>
          </cell>
          <cell r="E11">
            <v>77.3333333333333</v>
          </cell>
          <cell r="F11">
            <v>7</v>
          </cell>
          <cell r="G11">
            <v>79.142857142857096</v>
          </cell>
          <cell r="H11">
            <v>2</v>
          </cell>
          <cell r="I11">
            <v>62</v>
          </cell>
        </row>
        <row r="12">
          <cell r="B12">
            <v>0</v>
          </cell>
          <cell r="C12">
            <v>0</v>
          </cell>
          <cell r="D12">
            <v>6</v>
          </cell>
          <cell r="E12">
            <v>82.1666666666667</v>
          </cell>
          <cell r="F12">
            <v>3</v>
          </cell>
          <cell r="G12">
            <v>84</v>
          </cell>
          <cell r="H12">
            <v>3</v>
          </cell>
          <cell r="I12">
            <v>76.3333333333333</v>
          </cell>
        </row>
        <row r="13">
          <cell r="B13">
            <v>0</v>
          </cell>
          <cell r="C13">
            <v>0</v>
          </cell>
          <cell r="D13">
            <v>12</v>
          </cell>
          <cell r="E13">
            <v>83.25</v>
          </cell>
          <cell r="F13">
            <v>7</v>
          </cell>
          <cell r="G13">
            <v>86</v>
          </cell>
          <cell r="H13">
            <v>9</v>
          </cell>
          <cell r="I13">
            <v>71.1111111111111</v>
          </cell>
        </row>
        <row r="14">
          <cell r="B14">
            <v>0</v>
          </cell>
          <cell r="C14">
            <v>0</v>
          </cell>
          <cell r="D14">
            <v>10</v>
          </cell>
          <cell r="E14">
            <v>82.5</v>
          </cell>
          <cell r="F14">
            <v>7</v>
          </cell>
          <cell r="G14">
            <v>85.86</v>
          </cell>
          <cell r="H14">
            <v>5</v>
          </cell>
          <cell r="I14">
            <v>66.2</v>
          </cell>
        </row>
        <row r="15">
          <cell r="B15">
            <v>0</v>
          </cell>
          <cell r="C15">
            <v>0</v>
          </cell>
          <cell r="D15">
            <v>5</v>
          </cell>
          <cell r="E15">
            <v>82.6</v>
          </cell>
          <cell r="F15">
            <v>4</v>
          </cell>
          <cell r="G15">
            <v>82.5</v>
          </cell>
          <cell r="H15">
            <v>10</v>
          </cell>
          <cell r="I15">
            <v>68.7</v>
          </cell>
        </row>
      </sheetData>
      <sheetData sheetId="37">
        <row r="7">
          <cell r="B7">
            <v>0</v>
          </cell>
          <cell r="C7">
            <v>0</v>
          </cell>
          <cell r="D7">
            <v>0</v>
          </cell>
          <cell r="E7">
            <v>0</v>
          </cell>
          <cell r="F7">
            <v>0</v>
          </cell>
          <cell r="G7">
            <v>0</v>
          </cell>
          <cell r="H7">
            <v>5</v>
          </cell>
          <cell r="I7">
            <v>11.8</v>
          </cell>
        </row>
        <row r="8">
          <cell r="B8">
            <v>0</v>
          </cell>
          <cell r="C8">
            <v>0</v>
          </cell>
          <cell r="D8">
            <v>0</v>
          </cell>
          <cell r="E8">
            <v>0</v>
          </cell>
          <cell r="F8">
            <v>0</v>
          </cell>
          <cell r="G8">
            <v>0</v>
          </cell>
          <cell r="H8">
            <v>1</v>
          </cell>
          <cell r="I8">
            <v>17</v>
          </cell>
        </row>
        <row r="9">
          <cell r="B9">
            <v>0</v>
          </cell>
          <cell r="C9">
            <v>0</v>
          </cell>
          <cell r="D9">
            <v>1</v>
          </cell>
          <cell r="E9">
            <v>8</v>
          </cell>
          <cell r="F9">
            <v>0</v>
          </cell>
          <cell r="G9">
            <v>0</v>
          </cell>
          <cell r="H9">
            <v>2</v>
          </cell>
          <cell r="I9">
            <v>14</v>
          </cell>
        </row>
        <row r="10">
          <cell r="B10">
            <v>0</v>
          </cell>
          <cell r="C10">
            <v>0</v>
          </cell>
          <cell r="D10">
            <v>4</v>
          </cell>
          <cell r="E10">
            <v>14</v>
          </cell>
          <cell r="F10">
            <v>1</v>
          </cell>
          <cell r="G10">
            <v>13</v>
          </cell>
          <cell r="H10">
            <v>2</v>
          </cell>
          <cell r="I10">
            <v>9.5</v>
          </cell>
        </row>
        <row r="11">
          <cell r="B11">
            <v>0</v>
          </cell>
          <cell r="C11">
            <v>0</v>
          </cell>
          <cell r="D11">
            <v>4</v>
          </cell>
          <cell r="E11">
            <v>9.75</v>
          </cell>
          <cell r="F11">
            <v>0</v>
          </cell>
          <cell r="G11">
            <v>0</v>
          </cell>
          <cell r="H11">
            <v>3</v>
          </cell>
          <cell r="I11">
            <v>15.3333333333333</v>
          </cell>
        </row>
        <row r="12">
          <cell r="B12">
            <v>0</v>
          </cell>
          <cell r="C12">
            <v>0</v>
          </cell>
          <cell r="D12">
            <v>4</v>
          </cell>
          <cell r="E12">
            <v>8.25</v>
          </cell>
          <cell r="F12">
            <v>1</v>
          </cell>
          <cell r="G12">
            <v>13</v>
          </cell>
          <cell r="H12">
            <v>2</v>
          </cell>
          <cell r="I12">
            <v>13</v>
          </cell>
        </row>
        <row r="13">
          <cell r="B13">
            <v>0</v>
          </cell>
          <cell r="C13">
            <v>0</v>
          </cell>
          <cell r="D13">
            <v>9</v>
          </cell>
          <cell r="E13">
            <v>8.6666666666666696</v>
          </cell>
          <cell r="F13">
            <v>1</v>
          </cell>
          <cell r="G13">
            <v>9</v>
          </cell>
          <cell r="H13">
            <v>4</v>
          </cell>
          <cell r="I13">
            <v>11.25</v>
          </cell>
        </row>
        <row r="14">
          <cell r="B14">
            <v>0</v>
          </cell>
          <cell r="C14">
            <v>0</v>
          </cell>
          <cell r="D14">
            <v>7</v>
          </cell>
          <cell r="E14">
            <v>8.28571428571429</v>
          </cell>
          <cell r="F14">
            <v>1</v>
          </cell>
          <cell r="G14">
            <v>16</v>
          </cell>
          <cell r="H14">
            <v>6</v>
          </cell>
          <cell r="I14">
            <v>14</v>
          </cell>
        </row>
        <row r="15">
          <cell r="B15">
            <v>0</v>
          </cell>
          <cell r="C15">
            <v>0</v>
          </cell>
          <cell r="D15">
            <v>5</v>
          </cell>
          <cell r="E15">
            <v>9.6</v>
          </cell>
          <cell r="F15">
            <v>0</v>
          </cell>
          <cell r="G15">
            <v>0</v>
          </cell>
          <cell r="H15">
            <v>5</v>
          </cell>
          <cell r="I15">
            <v>8.4</v>
          </cell>
        </row>
      </sheetData>
      <sheetData sheetId="38">
        <row r="6">
          <cell r="B6">
            <v>459207941</v>
          </cell>
        </row>
      </sheetData>
      <sheetData sheetId="39"/>
      <sheetData sheetId="40"/>
      <sheetData sheetId="41"/>
      <sheetData sheetId="42">
        <row r="6">
          <cell r="B6">
            <v>30669240</v>
          </cell>
        </row>
      </sheetData>
      <sheetData sheetId="43">
        <row r="6">
          <cell r="B6">
            <v>45177</v>
          </cell>
        </row>
      </sheetData>
      <sheetData sheetId="44">
        <row r="6">
          <cell r="B6">
            <v>11555525</v>
          </cell>
        </row>
      </sheetData>
      <sheetData sheetId="45">
        <row r="6">
          <cell r="B6">
            <v>12703381</v>
          </cell>
        </row>
      </sheetData>
      <sheetData sheetId="46">
        <row r="6">
          <cell r="B6">
            <v>6365157</v>
          </cell>
        </row>
      </sheetData>
      <sheetData sheetId="47">
        <row r="10">
          <cell r="B10">
            <v>181042</v>
          </cell>
        </row>
      </sheetData>
      <sheetData sheetId="48"/>
      <sheetData sheetId="49"/>
      <sheetData sheetId="50"/>
      <sheetData sheetId="51">
        <row r="11">
          <cell r="B11">
            <v>4695890763</v>
          </cell>
        </row>
      </sheetData>
      <sheetData sheetId="52">
        <row r="11">
          <cell r="B11">
            <v>452509391</v>
          </cell>
        </row>
      </sheetData>
      <sheetData sheetId="53">
        <row r="10">
          <cell r="B10">
            <v>455897576</v>
          </cell>
        </row>
      </sheetData>
      <sheetData sheetId="54">
        <row r="6">
          <cell r="B6">
            <v>406504413</v>
          </cell>
        </row>
      </sheetData>
      <sheetData sheetId="55">
        <row r="11">
          <cell r="B11">
            <v>56121210</v>
          </cell>
        </row>
      </sheetData>
      <sheetData sheetId="56">
        <row r="11">
          <cell r="B11">
            <v>22787</v>
          </cell>
        </row>
      </sheetData>
      <sheetData sheetId="57"/>
      <sheetData sheetId="58"/>
      <sheetData sheetId="59"/>
      <sheetData sheetId="60"/>
      <sheetData sheetId="61"/>
      <sheetData sheetId="62">
        <row r="10">
          <cell r="B10">
            <v>129998</v>
          </cell>
        </row>
      </sheetData>
      <sheetData sheetId="63">
        <row r="10">
          <cell r="B10">
            <v>88</v>
          </cell>
        </row>
      </sheetData>
      <sheetData sheetId="64"/>
      <sheetData sheetId="65"/>
      <sheetData sheetId="66"/>
      <sheetData sheetId="6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機關數"/>
      <sheetName val="2人數"/>
      <sheetName val="3歷年退休"/>
      <sheetName val="4歷年撫卹"/>
      <sheetName val="5歷年離退 "/>
      <sheetName val="6歷年退離(政) "/>
      <sheetName val="7歷年退離(公)"/>
      <sheetName val="8歷年退離(教)"/>
      <sheetName val="9歷年退離(軍)"/>
      <sheetName val="10當年退離(政)"/>
      <sheetName val="11當年退離(公)"/>
      <sheetName val="12當年退離(教)"/>
      <sheetName val="13當年退休"/>
      <sheetName val="14退休(政)"/>
      <sheetName val="15退休(公)"/>
      <sheetName val="16退休(教)"/>
      <sheetName val="17退伍(軍) "/>
      <sheetName val="18當年撫卹(總)"/>
      <sheetName val="19撫卹(政)"/>
      <sheetName val="20撫卹(公) "/>
      <sheetName val="21撫卹(教)"/>
      <sheetName val="22撫卹(軍) "/>
      <sheetName val="23當年離退"/>
      <sheetName val="24退休平均俸額"/>
      <sheetName val="25撫卹平均俸額"/>
      <sheetName val="26參加者平均俸額 "/>
      <sheetName val="27平均俸額(總表) "/>
      <sheetName val="28平均俸額(一次退) "/>
      <sheetName val="29平均俸額(月退)"/>
      <sheetName val="30退休平均年齡"/>
      <sheetName val="31平均年齡(政) "/>
      <sheetName val="32平均年齡(公)"/>
      <sheetName val="33平均年齡(教)"/>
      <sheetName val="34平均年齡(軍)"/>
      <sheetName val="35一次撫慰金人數"/>
      <sheetName val="36配偶平均年齡"/>
      <sheetName val="37父母平均年齡"/>
      <sheetName val="38子女平均年齡"/>
      <sheetName val="39作業收支(累計)"/>
      <sheetName val="40支出(政)(政府別)"/>
      <sheetName val="41支出(公)(政府別)"/>
      <sheetName val="42支出(教)(政府別)"/>
      <sheetName val="43支出(總) "/>
      <sheetName val="44支出(政) "/>
      <sheetName val="45支出(公) "/>
      <sheetName val="46支出(教) "/>
      <sheetName val="47支出(軍) "/>
      <sheetName val="48定撥(歷年)o "/>
      <sheetName val="49定撥(當年度)o"/>
      <sheetName val="50規劃表"/>
      <sheetName val="51規劃比較表"/>
      <sheetName val="52運用收益 (含實際) "/>
      <sheetName val="53平衡表"/>
      <sheetName val="54資產明細"/>
      <sheetName val="55收支表"/>
      <sheetName val="56預決算"/>
      <sheetName val="57委託人權益"/>
      <sheetName val="附錄1提撥進度表"/>
      <sheetName val="精算基礎(1)"/>
      <sheetName val="精算基礎(2)"/>
      <sheetName val="附錄2國內委託經營(彙總)"/>
      <sheetName val="附錄3國外委託經營(彙總) "/>
      <sheetName val="附錄4行政經費"/>
      <sheetName val="附錄5員額配置"/>
      <sheetName val="附錄6教育程度"/>
      <sheetName val="附錄7考試類別"/>
      <sheetName val="附錄8年齡分布"/>
      <sheetName val="附錄9任職年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6">
          <cell r="B6">
            <v>513680216</v>
          </cell>
        </row>
        <row r="7">
          <cell r="B7">
            <v>55422063</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機關數-OK"/>
      <sheetName val="2人數-OK"/>
      <sheetName val="3歷年退休-OK"/>
      <sheetName val="4歷年撫卹-OK"/>
      <sheetName val="5歷年離退-OK"/>
      <sheetName val="6歷年退離(政)-OK"/>
      <sheetName val="7歷年退離(公)-OK"/>
      <sheetName val="8歷年退離(教)-OK"/>
      <sheetName val="9歷年退離(軍)-OK"/>
      <sheetName val="10當年退離(政)-OK"/>
      <sheetName val="11當年退離(公)-OK"/>
      <sheetName val="12當年退離(教)-OK"/>
      <sheetName val="13當年退休-OK"/>
      <sheetName val="14退休(政)-OK"/>
      <sheetName val="15退休(公)-OK"/>
      <sheetName val="16退休(教)-OK"/>
      <sheetName val="17退伍(軍)-請檢視附註"/>
      <sheetName val="18當年撫卹(總)-OK"/>
      <sheetName val="19撫卹(政)-OK"/>
      <sheetName val="20撫卹(公)-OK"/>
      <sheetName val="21撫卹(教)-OK"/>
      <sheetName val="22撫卹(軍)-OK"/>
      <sheetName val="23當年離退-請檢視附註"/>
      <sheetName val="24退休平均俸額-OK"/>
      <sheetName val="25撫卹平均俸額-OK"/>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OK"/>
      <sheetName val="41支出(公)(政府別)-OK"/>
      <sheetName val="42支出(教)(政府別)-OK"/>
      <sheetName val="43支出(總)-OK"/>
      <sheetName val="44支出(政)-OK "/>
      <sheetName val="45支出(公)-OK "/>
      <sheetName val="46支出(教)-OK  "/>
      <sheetName val="47支出(軍)-OK"/>
      <sheetName val="48定撥(歷年)-OK"/>
      <sheetName val="49定撥(當年度)-OK"/>
      <sheetName val="50規畫表-OK"/>
      <sheetName val="51規畫比較表-OK"/>
      <sheetName val="52運用收益 (含實際)-OK "/>
      <sheetName val="53平衡表-OK "/>
      <sheetName val="54資產明細-OK "/>
      <sheetName val="55收支表-OK "/>
      <sheetName val="56預決算-OK "/>
      <sheetName val="57委託人權益-OK"/>
      <sheetName val="附錄1提撥進度表-OK"/>
      <sheetName val="精算基礎(1)-OK"/>
      <sheetName val="精算基礎(2)-OK"/>
      <sheetName val="附錄2國內委託經營(彙總)"/>
      <sheetName val="附錄3國外委託經營(彙總) "/>
      <sheetName val="附錄4行政經費-OK"/>
      <sheetName val="附錄5員額配置-OK"/>
      <sheetName val="附錄6教育程度-OK"/>
      <sheetName val="附錄7考試類別-OK"/>
      <sheetName val="附錄8年齡分布-OK"/>
      <sheetName val="附錄9任職年資-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6">
          <cell r="B6">
            <v>513680216</v>
          </cell>
          <cell r="C6">
            <v>521892</v>
          </cell>
          <cell r="D6">
            <v>247332513</v>
          </cell>
          <cell r="E6">
            <v>190714571</v>
          </cell>
          <cell r="F6">
            <v>75111240</v>
          </cell>
          <cell r="G6">
            <v>164006228</v>
          </cell>
          <cell r="H6">
            <v>466146</v>
          </cell>
          <cell r="I6">
            <v>51235855</v>
          </cell>
          <cell r="J6">
            <v>65767695</v>
          </cell>
          <cell r="K6">
            <v>46536532</v>
          </cell>
        </row>
        <row r="7">
          <cell r="B7">
            <v>55422063</v>
          </cell>
          <cell r="C7">
            <v>12217</v>
          </cell>
          <cell r="D7">
            <v>26398583</v>
          </cell>
          <cell r="E7">
            <v>20589674</v>
          </cell>
          <cell r="F7">
            <v>8421589</v>
          </cell>
          <cell r="G7">
            <v>30669240</v>
          </cell>
          <cell r="H7">
            <v>45177</v>
          </cell>
          <cell r="I7">
            <v>11555525</v>
          </cell>
          <cell r="J7">
            <v>12703381</v>
          </cell>
          <cell r="K7">
            <v>6365157</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52.bin"/><Relationship Id="rId4" Type="http://schemas.openxmlformats.org/officeDocument/2006/relationships/comments" Target="../comments10.x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H25"/>
  <sheetViews>
    <sheetView view="pageBreakPreview" zoomScale="90" zoomScaleNormal="100" zoomScaleSheetLayoutView="90" workbookViewId="0">
      <pane ySplit="4" topLeftCell="A17" activePane="bottomLeft" state="frozen"/>
      <selection activeCell="E20" sqref="E20"/>
      <selection pane="bottomLeft" activeCell="E20" sqref="E20"/>
    </sheetView>
  </sheetViews>
  <sheetFormatPr defaultColWidth="8.25" defaultRowHeight="74.25" customHeight="1"/>
  <cols>
    <col min="1" max="1" width="12" style="14" customWidth="1"/>
    <col min="2" max="7" width="12" style="1" customWidth="1"/>
    <col min="8" max="8" width="8.5" style="1" bestFit="1" customWidth="1"/>
    <col min="9" max="16384" width="8.25" style="1"/>
  </cols>
  <sheetData>
    <row r="1" spans="1:8" ht="33" customHeight="1">
      <c r="A1" s="778" t="s">
        <v>755</v>
      </c>
      <c r="B1" s="778"/>
      <c r="C1" s="778"/>
      <c r="D1" s="778"/>
      <c r="E1" s="778"/>
      <c r="F1" s="778"/>
      <c r="G1" s="778"/>
    </row>
    <row r="2" spans="1:8" s="2" customFormat="1" ht="33" customHeight="1">
      <c r="A2" s="779" t="s">
        <v>756</v>
      </c>
      <c r="B2" s="779"/>
      <c r="C2" s="779"/>
      <c r="D2" s="779"/>
      <c r="E2" s="779"/>
      <c r="F2" s="779"/>
      <c r="G2" s="527" t="s">
        <v>757</v>
      </c>
      <c r="H2" s="528"/>
    </row>
    <row r="3" spans="1:8" s="2" customFormat="1" ht="62.65" customHeight="1">
      <c r="A3" s="506" t="s">
        <v>48</v>
      </c>
      <c r="B3" s="508" t="s">
        <v>49</v>
      </c>
      <c r="C3" s="508" t="s">
        <v>50</v>
      </c>
      <c r="D3" s="508" t="s">
        <v>301</v>
      </c>
      <c r="E3" s="508" t="s">
        <v>51</v>
      </c>
      <c r="F3" s="507" t="s">
        <v>52</v>
      </c>
      <c r="G3" s="509" t="s">
        <v>758</v>
      </c>
      <c r="H3" s="61" t="s">
        <v>423</v>
      </c>
    </row>
    <row r="4" spans="1:8" ht="62.65" hidden="1" customHeight="1">
      <c r="A4" s="516" t="s">
        <v>53</v>
      </c>
      <c r="B4" s="5">
        <f t="shared" ref="B4:B20" si="0">SUM(C4:G4)</f>
        <v>7777</v>
      </c>
      <c r="C4" s="5">
        <v>1086</v>
      </c>
      <c r="D4" s="5">
        <v>707</v>
      </c>
      <c r="E4" s="5">
        <v>4401</v>
      </c>
      <c r="F4" s="5">
        <v>1380</v>
      </c>
      <c r="G4" s="5">
        <v>203</v>
      </c>
    </row>
    <row r="5" spans="1:8" ht="62.65" hidden="1" customHeight="1">
      <c r="A5" s="516" t="s">
        <v>759</v>
      </c>
      <c r="B5" s="5">
        <f t="shared" si="0"/>
        <v>7755</v>
      </c>
      <c r="C5" s="5">
        <v>1096</v>
      </c>
      <c r="D5" s="5">
        <v>692</v>
      </c>
      <c r="E5" s="5">
        <v>4385</v>
      </c>
      <c r="F5" s="5">
        <v>1393</v>
      </c>
      <c r="G5" s="5">
        <v>189</v>
      </c>
    </row>
    <row r="6" spans="1:8" ht="62.65" hidden="1" customHeight="1">
      <c r="A6" s="516" t="s">
        <v>54</v>
      </c>
      <c r="B6" s="5">
        <f t="shared" si="0"/>
        <v>7788</v>
      </c>
      <c r="C6" s="5">
        <v>1105</v>
      </c>
      <c r="D6" s="5">
        <v>679</v>
      </c>
      <c r="E6" s="5">
        <v>4407</v>
      </c>
      <c r="F6" s="5">
        <v>1414</v>
      </c>
      <c r="G6" s="5">
        <v>183</v>
      </c>
    </row>
    <row r="7" spans="1:8" ht="62.65" hidden="1" customHeight="1">
      <c r="A7" s="516" t="s">
        <v>8</v>
      </c>
      <c r="B7" s="5">
        <f t="shared" si="0"/>
        <v>7811</v>
      </c>
      <c r="C7" s="5">
        <v>1111</v>
      </c>
      <c r="D7" s="5">
        <v>680</v>
      </c>
      <c r="E7" s="5">
        <v>4415</v>
      </c>
      <c r="F7" s="5">
        <v>1426</v>
      </c>
      <c r="G7" s="5">
        <v>179</v>
      </c>
    </row>
    <row r="8" spans="1:8" ht="62.65" hidden="1" customHeight="1">
      <c r="A8" s="516" t="s">
        <v>0</v>
      </c>
      <c r="B8" s="5">
        <f t="shared" si="0"/>
        <v>7890</v>
      </c>
      <c r="C8" s="5">
        <v>1119</v>
      </c>
      <c r="D8" s="5">
        <v>703</v>
      </c>
      <c r="E8" s="5">
        <v>4447</v>
      </c>
      <c r="F8" s="5">
        <v>1439</v>
      </c>
      <c r="G8" s="5">
        <v>182</v>
      </c>
    </row>
    <row r="9" spans="1:8" ht="62.65" hidden="1" customHeight="1">
      <c r="A9" s="516" t="s">
        <v>1</v>
      </c>
      <c r="B9" s="5">
        <f t="shared" si="0"/>
        <v>7858</v>
      </c>
      <c r="C9" s="5">
        <v>1100</v>
      </c>
      <c r="D9" s="5">
        <v>704</v>
      </c>
      <c r="E9" s="5">
        <v>4427</v>
      </c>
      <c r="F9" s="5">
        <v>1446</v>
      </c>
      <c r="G9" s="5">
        <v>181</v>
      </c>
    </row>
    <row r="10" spans="1:8" ht="62.65" hidden="1" customHeight="1">
      <c r="A10" s="516" t="s">
        <v>2</v>
      </c>
      <c r="B10" s="5">
        <f t="shared" si="0"/>
        <v>7856</v>
      </c>
      <c r="C10" s="5">
        <v>1104</v>
      </c>
      <c r="D10" s="5">
        <v>698</v>
      </c>
      <c r="E10" s="5">
        <v>4429</v>
      </c>
      <c r="F10" s="5">
        <v>1449</v>
      </c>
      <c r="G10" s="5">
        <v>176</v>
      </c>
      <c r="H10" s="143">
        <f>SUM(B10:G18)-SUM('[1]1機關數'!$B$10:$G$18)</f>
        <v>0</v>
      </c>
    </row>
    <row r="11" spans="1:8" ht="62.65" customHeight="1">
      <c r="A11" s="516" t="s">
        <v>3</v>
      </c>
      <c r="B11" s="5">
        <f t="shared" si="0"/>
        <v>7894</v>
      </c>
      <c r="C11" s="5">
        <v>1111</v>
      </c>
      <c r="D11" s="5">
        <v>2118</v>
      </c>
      <c r="E11" s="5">
        <v>3200</v>
      </c>
      <c r="F11" s="5">
        <v>1294</v>
      </c>
      <c r="G11" s="5">
        <v>171</v>
      </c>
      <c r="H11" s="143">
        <f>SUM(B11:G19)-SUM('[2]1機關數-OK'!$B$11:$G$19)</f>
        <v>0</v>
      </c>
    </row>
    <row r="12" spans="1:8" ht="62.65" customHeight="1">
      <c r="A12" s="516" t="s">
        <v>4</v>
      </c>
      <c r="B12" s="48">
        <f t="shared" si="0"/>
        <v>7736</v>
      </c>
      <c r="C12" s="5">
        <v>1108</v>
      </c>
      <c r="D12" s="5">
        <v>2495</v>
      </c>
      <c r="E12" s="5">
        <v>2902</v>
      </c>
      <c r="F12" s="5">
        <v>1063</v>
      </c>
      <c r="G12" s="5">
        <v>168</v>
      </c>
    </row>
    <row r="13" spans="1:8" ht="62.65" customHeight="1">
      <c r="A13" s="516" t="s">
        <v>5</v>
      </c>
      <c r="B13" s="48">
        <f t="shared" si="0"/>
        <v>7970</v>
      </c>
      <c r="C13" s="5">
        <v>1369</v>
      </c>
      <c r="D13" s="5">
        <v>2493</v>
      </c>
      <c r="E13" s="5">
        <v>2874</v>
      </c>
      <c r="F13" s="5">
        <v>1057</v>
      </c>
      <c r="G13" s="5">
        <v>177</v>
      </c>
    </row>
    <row r="14" spans="1:8" ht="62.65" customHeight="1">
      <c r="A14" s="516" t="s">
        <v>6</v>
      </c>
      <c r="B14" s="48">
        <f t="shared" si="0"/>
        <v>7623</v>
      </c>
      <c r="C14" s="5">
        <v>1059</v>
      </c>
      <c r="D14" s="5">
        <v>2513</v>
      </c>
      <c r="E14" s="5">
        <v>2838</v>
      </c>
      <c r="F14" s="5">
        <v>1057</v>
      </c>
      <c r="G14" s="5">
        <v>156</v>
      </c>
    </row>
    <row r="15" spans="1:8" ht="62.65" customHeight="1">
      <c r="A15" s="516" t="s">
        <v>7</v>
      </c>
      <c r="B15" s="48">
        <f>SUM(C15:G15)</f>
        <v>7637</v>
      </c>
      <c r="C15" s="5">
        <v>1032</v>
      </c>
      <c r="D15" s="5">
        <f>2893-350</f>
        <v>2543</v>
      </c>
      <c r="E15" s="5">
        <v>2849</v>
      </c>
      <c r="F15" s="5">
        <v>1064</v>
      </c>
      <c r="G15" s="5">
        <v>149</v>
      </c>
    </row>
    <row r="16" spans="1:8" ht="62.65" customHeight="1">
      <c r="A16" s="516" t="s">
        <v>55</v>
      </c>
      <c r="B16" s="48">
        <f>SUM(C16:G16)</f>
        <v>7260</v>
      </c>
      <c r="C16" s="5">
        <v>971</v>
      </c>
      <c r="D16" s="5">
        <v>2895</v>
      </c>
      <c r="E16" s="5">
        <v>2485</v>
      </c>
      <c r="F16" s="5">
        <v>767</v>
      </c>
      <c r="G16" s="5">
        <v>142</v>
      </c>
    </row>
    <row r="17" spans="1:7" ht="62.65" customHeight="1">
      <c r="A17" s="516" t="s">
        <v>232</v>
      </c>
      <c r="B17" s="48">
        <f t="shared" ref="B17:B19" si="1">SUM(C17:G17)</f>
        <v>7265</v>
      </c>
      <c r="C17" s="5">
        <v>972</v>
      </c>
      <c r="D17" s="5">
        <v>2895</v>
      </c>
      <c r="E17" s="5">
        <v>2494</v>
      </c>
      <c r="F17" s="5">
        <v>760</v>
      </c>
      <c r="G17" s="5">
        <v>144</v>
      </c>
    </row>
    <row r="18" spans="1:7" ht="62.65" customHeight="1">
      <c r="A18" s="516" t="s">
        <v>188</v>
      </c>
      <c r="B18" s="48">
        <f t="shared" si="1"/>
        <v>7212</v>
      </c>
      <c r="C18" s="5">
        <v>945</v>
      </c>
      <c r="D18" s="5">
        <v>2901</v>
      </c>
      <c r="E18" s="5">
        <v>2472</v>
      </c>
      <c r="F18" s="5">
        <v>752</v>
      </c>
      <c r="G18" s="5">
        <v>142</v>
      </c>
    </row>
    <row r="19" spans="1:7" ht="62.65" customHeight="1">
      <c r="A19" s="516" t="s">
        <v>189</v>
      </c>
      <c r="B19" s="48">
        <f t="shared" si="1"/>
        <v>7157</v>
      </c>
      <c r="C19" s="5">
        <v>915</v>
      </c>
      <c r="D19" s="5">
        <v>2898</v>
      </c>
      <c r="E19" s="5">
        <v>2453</v>
      </c>
      <c r="F19" s="5">
        <v>750</v>
      </c>
      <c r="G19" s="5">
        <v>141</v>
      </c>
    </row>
    <row r="20" spans="1:7" ht="62.65" customHeight="1">
      <c r="A20" s="516" t="s">
        <v>367</v>
      </c>
      <c r="B20" s="47">
        <f t="shared" si="0"/>
        <v>7164</v>
      </c>
      <c r="C20" s="27">
        <v>916</v>
      </c>
      <c r="D20" s="27">
        <v>2897</v>
      </c>
      <c r="E20" s="27">
        <v>2454</v>
      </c>
      <c r="F20" s="27">
        <v>760</v>
      </c>
      <c r="G20" s="27">
        <v>137</v>
      </c>
    </row>
    <row r="21" spans="1:7" ht="21.2" customHeight="1">
      <c r="A21" s="11" t="s">
        <v>760</v>
      </c>
    </row>
    <row r="22" spans="1:7" ht="21.2" customHeight="1">
      <c r="A22" s="12" t="s">
        <v>761</v>
      </c>
    </row>
    <row r="23" spans="1:7" ht="21.2" customHeight="1">
      <c r="A23" s="12"/>
    </row>
    <row r="24" spans="1:7" s="12" customFormat="1" ht="21.2" customHeight="1"/>
    <row r="25" spans="1:7" ht="21.2" customHeight="1">
      <c r="A25" s="12"/>
    </row>
  </sheetData>
  <mergeCells count="2">
    <mergeCell ref="A1:G1"/>
    <mergeCell ref="A2:F2"/>
  </mergeCells>
  <phoneticPr fontId="3" type="noConversion"/>
  <pageMargins left="0.62992125984251968" right="0" top="0.59055118110236227" bottom="0.36" header="0" footer="0"/>
  <pageSetup paperSize="9" firstPageNumber="9" orientation="portrait" r:id="rId1"/>
  <headerFooter alignWithMargins="0"/>
  <rowBreaks count="2" manualBreakCount="2">
    <brk id="2" max="16383" man="1"/>
    <brk id="21" max="16383" man="1"/>
  </rowBreaks>
  <colBreaks count="2" manualBreakCount="2">
    <brk id="4" max="1048575" man="1"/>
    <brk id="7" max="1048575" man="1"/>
  </colBreaks>
</worksheet>
</file>

<file path=xl/worksheets/sheet10.xml><?xml version="1.0" encoding="utf-8"?>
<worksheet xmlns="http://schemas.openxmlformats.org/spreadsheetml/2006/main" xmlns:r="http://schemas.openxmlformats.org/officeDocument/2006/relationships">
  <sheetPr>
    <tabColor indexed="13"/>
  </sheetPr>
  <dimension ref="A1:AC20"/>
  <sheetViews>
    <sheetView view="pageBreakPreview" zoomScaleNormal="90" zoomScaleSheetLayoutView="100" workbookViewId="0">
      <pane xSplit="1" ySplit="5" topLeftCell="N12" activePane="bottomRight" state="frozen"/>
      <selection activeCell="E20" sqref="E20"/>
      <selection pane="topRight" activeCell="E20" sqref="E20"/>
      <selection pane="bottomLeft" activeCell="E20" sqref="E20"/>
      <selection pane="bottomRight" activeCell="E20" sqref="E20"/>
    </sheetView>
  </sheetViews>
  <sheetFormatPr defaultColWidth="6.5" defaultRowHeight="74.25" customHeight="1"/>
  <cols>
    <col min="1" max="1" width="7.5" style="14" customWidth="1"/>
    <col min="2" max="2" width="8.375" style="1" customWidth="1"/>
    <col min="3" max="3" width="9.875" style="1" customWidth="1"/>
    <col min="4" max="6" width="13.125" style="1" customWidth="1"/>
    <col min="7" max="7" width="8.375" style="1" customWidth="1"/>
    <col min="8" max="8" width="11" style="1" customWidth="1"/>
    <col min="9" max="9" width="9.125" style="1" customWidth="1"/>
    <col min="10" max="10" width="13.875" style="1" customWidth="1"/>
    <col min="11" max="11" width="13.875" style="1" bestFit="1" customWidth="1"/>
    <col min="12" max="12" width="9.125" style="1" customWidth="1"/>
    <col min="13" max="13" width="14.875" style="1" customWidth="1"/>
    <col min="14" max="14" width="13.875" style="1" bestFit="1" customWidth="1"/>
    <col min="15" max="15" width="13" style="1" customWidth="1"/>
    <col min="16" max="16" width="10.125" style="1" bestFit="1" customWidth="1"/>
    <col min="17" max="16384" width="6.5" style="1"/>
  </cols>
  <sheetData>
    <row r="1" spans="1:29" ht="33" customHeight="1">
      <c r="A1" s="787" t="s">
        <v>270</v>
      </c>
      <c r="B1" s="787"/>
      <c r="C1" s="787"/>
      <c r="D1" s="787"/>
      <c r="E1" s="787"/>
      <c r="F1" s="787"/>
      <c r="G1" s="787"/>
      <c r="H1" s="787"/>
      <c r="I1" s="813" t="s">
        <v>248</v>
      </c>
      <c r="J1" s="813"/>
      <c r="K1" s="813"/>
      <c r="L1" s="813"/>
      <c r="M1" s="813"/>
      <c r="N1" s="813"/>
      <c r="O1" s="813"/>
    </row>
    <row r="2" spans="1:29" s="2" customFormat="1" ht="33" customHeight="1">
      <c r="A2" s="788" t="s">
        <v>394</v>
      </c>
      <c r="B2" s="788"/>
      <c r="C2" s="788"/>
      <c r="D2" s="788"/>
      <c r="E2" s="788"/>
      <c r="F2" s="788"/>
      <c r="G2" s="788"/>
      <c r="H2" s="788"/>
      <c r="I2" s="830" t="s">
        <v>395</v>
      </c>
      <c r="J2" s="830"/>
      <c r="K2" s="830"/>
      <c r="L2" s="830"/>
      <c r="M2" s="830"/>
      <c r="N2" s="830"/>
      <c r="O2" s="115" t="s">
        <v>9</v>
      </c>
    </row>
    <row r="3" spans="1:29" s="2" customFormat="1" ht="29.25" customHeight="1">
      <c r="A3" s="793" t="s">
        <v>222</v>
      </c>
      <c r="B3" s="811" t="s">
        <v>223</v>
      </c>
      <c r="C3" s="795" t="s">
        <v>264</v>
      </c>
      <c r="D3" s="795"/>
      <c r="E3" s="795"/>
      <c r="F3" s="795"/>
      <c r="G3" s="794" t="s">
        <v>225</v>
      </c>
      <c r="H3" s="822" t="s">
        <v>250</v>
      </c>
      <c r="I3" s="828"/>
      <c r="J3" s="828"/>
      <c r="K3" s="828"/>
      <c r="L3" s="828"/>
      <c r="M3" s="828"/>
      <c r="N3" s="829"/>
      <c r="O3" s="796" t="s">
        <v>251</v>
      </c>
      <c r="P3" s="3"/>
    </row>
    <row r="4" spans="1:29" s="2" customFormat="1" ht="29.25" customHeight="1">
      <c r="A4" s="793"/>
      <c r="B4" s="811"/>
      <c r="C4" s="819" t="s">
        <v>226</v>
      </c>
      <c r="D4" s="817" t="s">
        <v>265</v>
      </c>
      <c r="E4" s="819" t="s">
        <v>266</v>
      </c>
      <c r="F4" s="821" t="s">
        <v>267</v>
      </c>
      <c r="G4" s="796"/>
      <c r="H4" s="822" t="s">
        <v>226</v>
      </c>
      <c r="I4" s="824" t="s">
        <v>236</v>
      </c>
      <c r="J4" s="824"/>
      <c r="K4" s="793"/>
      <c r="L4" s="812" t="s">
        <v>237</v>
      </c>
      <c r="M4" s="824"/>
      <c r="N4" s="793"/>
      <c r="O4" s="796"/>
      <c r="P4" s="3"/>
    </row>
    <row r="5" spans="1:29" s="2" customFormat="1" ht="39.200000000000003" customHeight="1">
      <c r="A5" s="793"/>
      <c r="B5" s="811"/>
      <c r="C5" s="820"/>
      <c r="D5" s="832"/>
      <c r="E5" s="820"/>
      <c r="F5" s="832"/>
      <c r="G5" s="796"/>
      <c r="H5" s="823"/>
      <c r="I5" s="109" t="s">
        <v>268</v>
      </c>
      <c r="J5" s="101" t="s">
        <v>238</v>
      </c>
      <c r="K5" s="99" t="s">
        <v>346</v>
      </c>
      <c r="L5" s="101" t="s">
        <v>268</v>
      </c>
      <c r="M5" s="101" t="s">
        <v>10</v>
      </c>
      <c r="N5" s="99" t="s">
        <v>346</v>
      </c>
      <c r="O5" s="796"/>
      <c r="P5" s="61" t="s">
        <v>423</v>
      </c>
    </row>
    <row r="6" spans="1:29" s="2" customFormat="1" ht="53.1" customHeight="1">
      <c r="A6" s="114" t="s">
        <v>240</v>
      </c>
      <c r="B6" s="30">
        <f>SUM(B8:B17)</f>
        <v>56929</v>
      </c>
      <c r="C6" s="30">
        <f t="shared" ref="C6:O6" si="0">SUM(C8:C17)</f>
        <v>53128</v>
      </c>
      <c r="D6" s="30">
        <f t="shared" si="0"/>
        <v>872</v>
      </c>
      <c r="E6" s="30">
        <f t="shared" si="0"/>
        <v>51856</v>
      </c>
      <c r="F6" s="30">
        <f t="shared" si="0"/>
        <v>400</v>
      </c>
      <c r="G6" s="30">
        <f t="shared" si="0"/>
        <v>288</v>
      </c>
      <c r="H6" s="30">
        <f t="shared" si="0"/>
        <v>972</v>
      </c>
      <c r="I6" s="30">
        <f t="shared" si="0"/>
        <v>932</v>
      </c>
      <c r="J6" s="30">
        <f t="shared" si="0"/>
        <v>307</v>
      </c>
      <c r="K6" s="30">
        <f t="shared" si="0"/>
        <v>625</v>
      </c>
      <c r="L6" s="30">
        <f t="shared" si="0"/>
        <v>40</v>
      </c>
      <c r="M6" s="30">
        <f t="shared" si="0"/>
        <v>0</v>
      </c>
      <c r="N6" s="30">
        <f t="shared" si="0"/>
        <v>40</v>
      </c>
      <c r="O6" s="30">
        <f t="shared" si="0"/>
        <v>2541</v>
      </c>
      <c r="P6" s="119">
        <f>B6-B17-'[4]8歷年退離(教)-OK'!B6+'[4]8歷年退離(教)-OK'!B7</f>
        <v>0</v>
      </c>
      <c r="Q6" s="119">
        <f>C6-C17-'[4]8歷年退離(教)-OK'!C6+'[4]8歷年退離(教)-OK'!C7</f>
        <v>0</v>
      </c>
      <c r="R6" s="119">
        <f>D6-D17-'[4]8歷年退離(教)-OK'!D6+'[4]8歷年退離(教)-OK'!D7</f>
        <v>0</v>
      </c>
      <c r="S6" s="119">
        <f>E6-E17-'[4]8歷年退離(教)-OK'!E6+'[4]8歷年退離(教)-OK'!E7</f>
        <v>0</v>
      </c>
      <c r="T6" s="119">
        <f>F6-F17-'[4]8歷年退離(教)-OK'!F6+'[4]8歷年退離(教)-OK'!F7</f>
        <v>0</v>
      </c>
      <c r="U6" s="119">
        <f>G6-G17-'[4]8歷年退離(教)-OK'!G6+'[4]8歷年退離(教)-OK'!G7</f>
        <v>0</v>
      </c>
      <c r="V6" s="119">
        <f>H6-H17-'[4]8歷年退離(教)-OK'!H6+'[4]8歷年退離(教)-OK'!H7</f>
        <v>0</v>
      </c>
      <c r="W6" s="119">
        <f>I6-I17-'[4]8歷年退離(教)-OK'!I6+'[4]8歷年退離(教)-OK'!I7</f>
        <v>0</v>
      </c>
      <c r="X6" s="119">
        <f>J6-J17-'[4]8歷年退離(教)-OK'!J6+'[4]8歷年退離(教)-OK'!J7</f>
        <v>0</v>
      </c>
      <c r="Y6" s="119">
        <f>K6-K17-'[4]8歷年退離(教)-OK'!K6+'[4]8歷年退離(教)-OK'!K7</f>
        <v>0</v>
      </c>
      <c r="Z6" s="119">
        <f>L6-L17-'[4]8歷年退離(教)-OK'!L6+'[4]8歷年退離(教)-OK'!L7</f>
        <v>0</v>
      </c>
      <c r="AA6" s="119">
        <f>M6-M17-'[4]8歷年退離(教)-OK'!M6+'[4]8歷年退離(教)-OK'!M7</f>
        <v>0</v>
      </c>
      <c r="AB6" s="119">
        <f>N6-N17-'[4]8歷年退離(教)-OK'!N6+'[4]8歷年退離(教)-OK'!N7</f>
        <v>0</v>
      </c>
      <c r="AC6" s="119">
        <f>O6-O17-'[4]8歷年退離(教)-OK'!O6+'[4]8歷年退離(教)-OK'!O7</f>
        <v>0</v>
      </c>
    </row>
    <row r="7" spans="1:29" s="8" customFormat="1" ht="53.1" hidden="1" customHeight="1">
      <c r="A7" s="114" t="s">
        <v>2</v>
      </c>
      <c r="B7" s="30">
        <f t="shared" ref="B7:B12" si="1">C7+G7+H7+O7</f>
        <v>4764</v>
      </c>
      <c r="C7" s="30">
        <f>D7+E7+F7</f>
        <v>4317</v>
      </c>
      <c r="D7" s="31">
        <v>109</v>
      </c>
      <c r="E7" s="31">
        <v>4069</v>
      </c>
      <c r="F7" s="31">
        <v>139</v>
      </c>
      <c r="G7" s="31">
        <v>36</v>
      </c>
      <c r="H7" s="31">
        <f t="shared" ref="H7:H12" si="2">I7+L7</f>
        <v>98</v>
      </c>
      <c r="I7" s="31">
        <f t="shared" ref="I7:I12" si="3">SUM(J7:K7)</f>
        <v>88</v>
      </c>
      <c r="J7" s="31">
        <v>29</v>
      </c>
      <c r="K7" s="31">
        <v>59</v>
      </c>
      <c r="L7" s="30">
        <f t="shared" ref="L7:L12" si="4">SUM(M7:N7)</f>
        <v>10</v>
      </c>
      <c r="M7" s="31">
        <v>0</v>
      </c>
      <c r="N7" s="31">
        <v>10</v>
      </c>
      <c r="O7" s="31">
        <v>313</v>
      </c>
      <c r="P7" s="89"/>
      <c r="Q7" s="89"/>
      <c r="R7" s="89"/>
      <c r="S7" s="89"/>
      <c r="T7" s="89"/>
      <c r="U7" s="89"/>
      <c r="V7" s="89"/>
      <c r="W7" s="89"/>
      <c r="X7" s="89"/>
      <c r="Y7" s="89"/>
      <c r="Z7" s="89"/>
      <c r="AA7" s="89"/>
      <c r="AB7" s="89"/>
      <c r="AC7" s="89"/>
    </row>
    <row r="8" spans="1:29" s="8" customFormat="1" ht="53.1" customHeight="1">
      <c r="A8" s="114" t="s">
        <v>3</v>
      </c>
      <c r="B8" s="30">
        <f t="shared" si="1"/>
        <v>5191</v>
      </c>
      <c r="C8" s="30">
        <f>D8+E8+F8</f>
        <v>4780</v>
      </c>
      <c r="D8" s="31">
        <v>86</v>
      </c>
      <c r="E8" s="31">
        <v>4608</v>
      </c>
      <c r="F8" s="31">
        <v>86</v>
      </c>
      <c r="G8" s="31">
        <v>30</v>
      </c>
      <c r="H8" s="31">
        <f t="shared" si="2"/>
        <v>105</v>
      </c>
      <c r="I8" s="31">
        <f t="shared" si="3"/>
        <v>94</v>
      </c>
      <c r="J8" s="31">
        <v>39</v>
      </c>
      <c r="K8" s="31">
        <v>55</v>
      </c>
      <c r="L8" s="30">
        <f t="shared" si="4"/>
        <v>11</v>
      </c>
      <c r="M8" s="31">
        <v>0</v>
      </c>
      <c r="N8" s="31">
        <v>11</v>
      </c>
      <c r="O8" s="31">
        <v>276</v>
      </c>
      <c r="P8" s="89">
        <f>B8-'[4]8歷年退離(教)-OK'!B8</f>
        <v>0</v>
      </c>
      <c r="Q8" s="89">
        <f>C8-'[4]8歷年退離(教)-OK'!C8</f>
        <v>0</v>
      </c>
      <c r="R8" s="89">
        <f>D8-'[4]8歷年退離(教)-OK'!D8</f>
        <v>0</v>
      </c>
      <c r="S8" s="89">
        <f>E8-'[4]8歷年退離(教)-OK'!E8</f>
        <v>0</v>
      </c>
      <c r="T8" s="89">
        <f>F8-'[4]8歷年退離(教)-OK'!F8</f>
        <v>0</v>
      </c>
      <c r="U8" s="89">
        <f>G8-'[4]8歷年退離(教)-OK'!G8</f>
        <v>0</v>
      </c>
      <c r="V8" s="89">
        <f>H8-'[4]8歷年退離(教)-OK'!H8</f>
        <v>0</v>
      </c>
      <c r="W8" s="89">
        <f>I8-'[4]8歷年退離(教)-OK'!I8</f>
        <v>0</v>
      </c>
      <c r="X8" s="89">
        <f>J8-'[4]8歷年退離(教)-OK'!J8</f>
        <v>0</v>
      </c>
      <c r="Y8" s="89">
        <f>K8-'[4]8歷年退離(教)-OK'!K8</f>
        <v>0</v>
      </c>
      <c r="Z8" s="89">
        <f>L8-'[4]8歷年退離(教)-OK'!L8</f>
        <v>0</v>
      </c>
      <c r="AA8" s="89">
        <f>M8-'[4]8歷年退離(教)-OK'!M8</f>
        <v>0</v>
      </c>
      <c r="AB8" s="89">
        <f>N8-'[4]8歷年退離(教)-OK'!N8</f>
        <v>0</v>
      </c>
      <c r="AC8" s="89">
        <f>O8-'[4]8歷年退離(教)-OK'!O8</f>
        <v>0</v>
      </c>
    </row>
    <row r="9" spans="1:29" s="8" customFormat="1" ht="53.1" customHeight="1">
      <c r="A9" s="114" t="s">
        <v>4</v>
      </c>
      <c r="B9" s="32">
        <f t="shared" si="1"/>
        <v>6000</v>
      </c>
      <c r="C9" s="31">
        <f t="shared" ref="C9:C16" si="5">SUM(D9:F9)</f>
        <v>5560</v>
      </c>
      <c r="D9" s="31">
        <v>76</v>
      </c>
      <c r="E9" s="31">
        <v>5431</v>
      </c>
      <c r="F9" s="31">
        <v>53</v>
      </c>
      <c r="G9" s="31">
        <v>44</v>
      </c>
      <c r="H9" s="31">
        <f t="shared" si="2"/>
        <v>99</v>
      </c>
      <c r="I9" s="31">
        <f t="shared" si="3"/>
        <v>94</v>
      </c>
      <c r="J9" s="31">
        <v>39</v>
      </c>
      <c r="K9" s="31">
        <v>55</v>
      </c>
      <c r="L9" s="31">
        <f t="shared" si="4"/>
        <v>5</v>
      </c>
      <c r="M9" s="31">
        <v>0</v>
      </c>
      <c r="N9" s="31">
        <v>5</v>
      </c>
      <c r="O9" s="31">
        <v>297</v>
      </c>
      <c r="P9" s="89">
        <f>B9-'[4]8歷年退離(教)-OK'!B9</f>
        <v>0</v>
      </c>
      <c r="Q9" s="89">
        <f>C9-'[4]8歷年退離(教)-OK'!C9</f>
        <v>0</v>
      </c>
      <c r="R9" s="89">
        <f>D9-'[4]8歷年退離(教)-OK'!D9</f>
        <v>0</v>
      </c>
      <c r="S9" s="89">
        <f>E9-'[4]8歷年退離(教)-OK'!E9</f>
        <v>0</v>
      </c>
      <c r="T9" s="89">
        <f>F9-'[4]8歷年退離(教)-OK'!F9</f>
        <v>0</v>
      </c>
      <c r="U9" s="89">
        <f>G9-'[4]8歷年退離(教)-OK'!G9</f>
        <v>0</v>
      </c>
      <c r="V9" s="89">
        <f>H9-'[4]8歷年退離(教)-OK'!H9</f>
        <v>0</v>
      </c>
      <c r="W9" s="89">
        <f>I9-'[4]8歷年退離(教)-OK'!I9</f>
        <v>0</v>
      </c>
      <c r="X9" s="89">
        <f>J9-'[4]8歷年退離(教)-OK'!J9</f>
        <v>0</v>
      </c>
      <c r="Y9" s="89">
        <f>K9-'[4]8歷年退離(教)-OK'!K9</f>
        <v>0</v>
      </c>
      <c r="Z9" s="89">
        <f>L9-'[4]8歷年退離(教)-OK'!L9</f>
        <v>0</v>
      </c>
      <c r="AA9" s="89">
        <f>M9-'[4]8歷年退離(教)-OK'!M9</f>
        <v>0</v>
      </c>
      <c r="AB9" s="89">
        <f>N9-'[4]8歷年退離(教)-OK'!N9</f>
        <v>0</v>
      </c>
      <c r="AC9" s="89">
        <f>O9-'[4]8歷年退離(教)-OK'!O9</f>
        <v>0</v>
      </c>
    </row>
    <row r="10" spans="1:29" s="8" customFormat="1" ht="53.1" customHeight="1">
      <c r="A10" s="114" t="s">
        <v>5</v>
      </c>
      <c r="B10" s="32">
        <f t="shared" si="1"/>
        <v>6173</v>
      </c>
      <c r="C10" s="31">
        <f t="shared" si="5"/>
        <v>5774</v>
      </c>
      <c r="D10" s="31">
        <v>83</v>
      </c>
      <c r="E10" s="31">
        <v>5631</v>
      </c>
      <c r="F10" s="31">
        <v>60</v>
      </c>
      <c r="G10" s="31">
        <v>33</v>
      </c>
      <c r="H10" s="31">
        <f t="shared" si="2"/>
        <v>88</v>
      </c>
      <c r="I10" s="31">
        <f t="shared" si="3"/>
        <v>86</v>
      </c>
      <c r="J10" s="31">
        <v>29</v>
      </c>
      <c r="K10" s="31">
        <v>57</v>
      </c>
      <c r="L10" s="31">
        <f t="shared" si="4"/>
        <v>2</v>
      </c>
      <c r="M10" s="31">
        <v>0</v>
      </c>
      <c r="N10" s="31">
        <v>2</v>
      </c>
      <c r="O10" s="31">
        <v>278</v>
      </c>
      <c r="P10" s="89">
        <f>B10-'[4]8歷年退離(教)-OK'!B10</f>
        <v>0</v>
      </c>
      <c r="Q10" s="89">
        <f>C10-'[4]8歷年退離(教)-OK'!C10</f>
        <v>0</v>
      </c>
      <c r="R10" s="89">
        <f>D10-'[4]8歷年退離(教)-OK'!D10</f>
        <v>0</v>
      </c>
      <c r="S10" s="89">
        <f>E10-'[4]8歷年退離(教)-OK'!E10</f>
        <v>0</v>
      </c>
      <c r="T10" s="89">
        <f>F10-'[4]8歷年退離(教)-OK'!F10</f>
        <v>0</v>
      </c>
      <c r="U10" s="89">
        <f>G10-'[4]8歷年退離(教)-OK'!G10</f>
        <v>0</v>
      </c>
      <c r="V10" s="89">
        <f>H10-'[4]8歷年退離(教)-OK'!H10</f>
        <v>0</v>
      </c>
      <c r="W10" s="89">
        <f>I10-'[4]8歷年退離(教)-OK'!I10</f>
        <v>0</v>
      </c>
      <c r="X10" s="89">
        <f>J10-'[4]8歷年退離(教)-OK'!J10</f>
        <v>0</v>
      </c>
      <c r="Y10" s="89">
        <f>K10-'[4]8歷年退離(教)-OK'!K10</f>
        <v>0</v>
      </c>
      <c r="Z10" s="89">
        <f>L10-'[4]8歷年退離(教)-OK'!L10</f>
        <v>0</v>
      </c>
      <c r="AA10" s="89">
        <f>M10-'[4]8歷年退離(教)-OK'!M10</f>
        <v>0</v>
      </c>
      <c r="AB10" s="89">
        <f>N10-'[4]8歷年退離(教)-OK'!N10</f>
        <v>0</v>
      </c>
      <c r="AC10" s="89">
        <f>O10-'[4]8歷年退離(教)-OK'!O10</f>
        <v>0</v>
      </c>
    </row>
    <row r="11" spans="1:29" s="8" customFormat="1" ht="53.1" customHeight="1">
      <c r="A11" s="114" t="s">
        <v>6</v>
      </c>
      <c r="B11" s="32">
        <f t="shared" si="1"/>
        <v>5615</v>
      </c>
      <c r="C11" s="31">
        <f t="shared" si="5"/>
        <v>5213</v>
      </c>
      <c r="D11" s="31">
        <v>83</v>
      </c>
      <c r="E11" s="31">
        <v>5084</v>
      </c>
      <c r="F11" s="31">
        <v>46</v>
      </c>
      <c r="G11" s="31">
        <v>27</v>
      </c>
      <c r="H11" s="31">
        <f t="shared" si="2"/>
        <v>99</v>
      </c>
      <c r="I11" s="31">
        <f t="shared" si="3"/>
        <v>96</v>
      </c>
      <c r="J11" s="31">
        <v>35</v>
      </c>
      <c r="K11" s="31">
        <v>61</v>
      </c>
      <c r="L11" s="31">
        <f t="shared" si="4"/>
        <v>3</v>
      </c>
      <c r="M11" s="31">
        <v>0</v>
      </c>
      <c r="N11" s="31">
        <v>3</v>
      </c>
      <c r="O11" s="31">
        <v>276</v>
      </c>
      <c r="P11" s="89">
        <f>B11-'[4]8歷年退離(教)-OK'!B11</f>
        <v>0</v>
      </c>
      <c r="Q11" s="89">
        <f>C11-'[4]8歷年退離(教)-OK'!C11</f>
        <v>0</v>
      </c>
      <c r="R11" s="89">
        <f>D11-'[4]8歷年退離(教)-OK'!D11</f>
        <v>0</v>
      </c>
      <c r="S11" s="89">
        <f>E11-'[4]8歷年退離(教)-OK'!E11</f>
        <v>0</v>
      </c>
      <c r="T11" s="89">
        <f>F11-'[4]8歷年退離(教)-OK'!F11</f>
        <v>0</v>
      </c>
      <c r="U11" s="89">
        <f>G11-'[4]8歷年退離(教)-OK'!G11</f>
        <v>0</v>
      </c>
      <c r="V11" s="89">
        <f>H11-'[4]8歷年退離(教)-OK'!H11</f>
        <v>0</v>
      </c>
      <c r="W11" s="89">
        <f>I11-'[4]8歷年退離(教)-OK'!I11</f>
        <v>0</v>
      </c>
      <c r="X11" s="89">
        <f>J11-'[4]8歷年退離(教)-OK'!J11</f>
        <v>0</v>
      </c>
      <c r="Y11" s="89">
        <f>K11-'[4]8歷年退離(教)-OK'!K11</f>
        <v>0</v>
      </c>
      <c r="Z11" s="89">
        <f>L11-'[4]8歷年退離(教)-OK'!L11</f>
        <v>0</v>
      </c>
      <c r="AA11" s="89">
        <f>M11-'[4]8歷年退離(教)-OK'!M11</f>
        <v>0</v>
      </c>
      <c r="AB11" s="89">
        <f>N11-'[4]8歷年退離(教)-OK'!N11</f>
        <v>0</v>
      </c>
      <c r="AC11" s="89">
        <f>O11-'[4]8歷年退離(教)-OK'!O11</f>
        <v>0</v>
      </c>
    </row>
    <row r="12" spans="1:29" s="8" customFormat="1" ht="53.1" customHeight="1">
      <c r="A12" s="114" t="s">
        <v>7</v>
      </c>
      <c r="B12" s="32">
        <f t="shared" si="1"/>
        <v>5380</v>
      </c>
      <c r="C12" s="31">
        <f t="shared" si="5"/>
        <v>5014</v>
      </c>
      <c r="D12" s="31">
        <v>82</v>
      </c>
      <c r="E12" s="31">
        <v>4906</v>
      </c>
      <c r="F12" s="31">
        <v>26</v>
      </c>
      <c r="G12" s="31">
        <v>26</v>
      </c>
      <c r="H12" s="31">
        <f t="shared" si="2"/>
        <v>107</v>
      </c>
      <c r="I12" s="31">
        <f t="shared" si="3"/>
        <v>104</v>
      </c>
      <c r="J12" s="31">
        <v>32</v>
      </c>
      <c r="K12" s="31">
        <v>72</v>
      </c>
      <c r="L12" s="31">
        <f t="shared" si="4"/>
        <v>3</v>
      </c>
      <c r="M12" s="31">
        <v>0</v>
      </c>
      <c r="N12" s="31">
        <v>3</v>
      </c>
      <c r="O12" s="31">
        <v>233</v>
      </c>
      <c r="P12" s="89">
        <f>B12-'[4]8歷年退離(教)-OK'!B12</f>
        <v>0</v>
      </c>
      <c r="Q12" s="89">
        <f>C12-'[4]8歷年退離(教)-OK'!C12</f>
        <v>0</v>
      </c>
      <c r="R12" s="89">
        <f>D12-'[4]8歷年退離(教)-OK'!D12</f>
        <v>0</v>
      </c>
      <c r="S12" s="89">
        <f>E12-'[4]8歷年退離(教)-OK'!E12</f>
        <v>0</v>
      </c>
      <c r="T12" s="89">
        <f>F12-'[4]8歷年退離(教)-OK'!F12</f>
        <v>0</v>
      </c>
      <c r="U12" s="89">
        <f>G12-'[4]8歷年退離(教)-OK'!G12</f>
        <v>0</v>
      </c>
      <c r="V12" s="89">
        <f>H12-'[4]8歷年退離(教)-OK'!H12</f>
        <v>0</v>
      </c>
      <c r="W12" s="89">
        <f>I12-'[4]8歷年退離(教)-OK'!I12</f>
        <v>0</v>
      </c>
      <c r="X12" s="89">
        <f>J12-'[4]8歷年退離(教)-OK'!J12</f>
        <v>0</v>
      </c>
      <c r="Y12" s="89">
        <f>K12-'[4]8歷年退離(教)-OK'!K12</f>
        <v>0</v>
      </c>
      <c r="Z12" s="89">
        <f>L12-'[4]8歷年退離(教)-OK'!L12</f>
        <v>0</v>
      </c>
      <c r="AA12" s="89">
        <f>M12-'[4]8歷年退離(教)-OK'!M12</f>
        <v>0</v>
      </c>
      <c r="AB12" s="89">
        <f>N12-'[4]8歷年退離(教)-OK'!N12</f>
        <v>0</v>
      </c>
      <c r="AC12" s="89">
        <f>O12-'[4]8歷年退離(教)-OK'!O12</f>
        <v>0</v>
      </c>
    </row>
    <row r="13" spans="1:29" s="8" customFormat="1" ht="53.1" customHeight="1">
      <c r="A13" s="114" t="s">
        <v>241</v>
      </c>
      <c r="B13" s="32">
        <f>C13+G13+H13+O13</f>
        <v>6719</v>
      </c>
      <c r="C13" s="31">
        <f t="shared" si="5"/>
        <v>6371</v>
      </c>
      <c r="D13" s="31">
        <v>69</v>
      </c>
      <c r="E13" s="31">
        <v>6278</v>
      </c>
      <c r="F13" s="31">
        <v>24</v>
      </c>
      <c r="G13" s="31">
        <v>29</v>
      </c>
      <c r="H13" s="31">
        <f>I13+L13</f>
        <v>101</v>
      </c>
      <c r="I13" s="31">
        <f>SUM(J13:K13)</f>
        <v>97</v>
      </c>
      <c r="J13" s="31">
        <v>31</v>
      </c>
      <c r="K13" s="31">
        <v>66</v>
      </c>
      <c r="L13" s="31">
        <f>SUM(M13:N13)</f>
        <v>4</v>
      </c>
      <c r="M13" s="31">
        <v>0</v>
      </c>
      <c r="N13" s="31">
        <v>4</v>
      </c>
      <c r="O13" s="31">
        <v>218</v>
      </c>
      <c r="P13" s="89">
        <f>B13-'[4]8歷年退離(教)-OK'!B13</f>
        <v>0</v>
      </c>
      <c r="Q13" s="89">
        <f>C13-'[4]8歷年退離(教)-OK'!C13</f>
        <v>0</v>
      </c>
      <c r="R13" s="89">
        <f>D13-'[4]8歷年退離(教)-OK'!D13</f>
        <v>0</v>
      </c>
      <c r="S13" s="89">
        <f>E13-'[4]8歷年退離(教)-OK'!E13</f>
        <v>0</v>
      </c>
      <c r="T13" s="89">
        <f>F13-'[4]8歷年退離(教)-OK'!F13</f>
        <v>0</v>
      </c>
      <c r="U13" s="89">
        <f>G13-'[4]8歷年退離(教)-OK'!G13</f>
        <v>0</v>
      </c>
      <c r="V13" s="89">
        <f>H13-'[4]8歷年退離(教)-OK'!H13</f>
        <v>0</v>
      </c>
      <c r="W13" s="89">
        <f>I13-'[4]8歷年退離(教)-OK'!I13</f>
        <v>0</v>
      </c>
      <c r="X13" s="89">
        <f>J13-'[4]8歷年退離(教)-OK'!J13</f>
        <v>0</v>
      </c>
      <c r="Y13" s="89">
        <f>K13-'[4]8歷年退離(教)-OK'!K13</f>
        <v>0</v>
      </c>
      <c r="Z13" s="89">
        <f>L13-'[4]8歷年退離(教)-OK'!L13</f>
        <v>0</v>
      </c>
      <c r="AA13" s="89">
        <f>M13-'[4]8歷年退離(教)-OK'!M13</f>
        <v>0</v>
      </c>
      <c r="AB13" s="89">
        <f>N13-'[4]8歷年退離(教)-OK'!N13</f>
        <v>0</v>
      </c>
      <c r="AC13" s="89">
        <f>O13-'[4]8歷年退離(教)-OK'!O13</f>
        <v>0</v>
      </c>
    </row>
    <row r="14" spans="1:29" s="8" customFormat="1" ht="53.1" customHeight="1">
      <c r="A14" s="114" t="s">
        <v>99</v>
      </c>
      <c r="B14" s="32">
        <f>C14+G14+H14+O14</f>
        <v>7063</v>
      </c>
      <c r="C14" s="31">
        <f t="shared" si="5"/>
        <v>6728</v>
      </c>
      <c r="D14" s="31">
        <v>83</v>
      </c>
      <c r="E14" s="31">
        <v>6617</v>
      </c>
      <c r="F14" s="31">
        <v>28</v>
      </c>
      <c r="G14" s="31">
        <v>33</v>
      </c>
      <c r="H14" s="31">
        <f>I14+L14</f>
        <v>83</v>
      </c>
      <c r="I14" s="31">
        <f>SUM(J14:K14)</f>
        <v>81</v>
      </c>
      <c r="J14" s="31">
        <v>26</v>
      </c>
      <c r="K14" s="31">
        <v>55</v>
      </c>
      <c r="L14" s="31">
        <f>SUM(M14:N14)</f>
        <v>2</v>
      </c>
      <c r="M14" s="31">
        <v>0</v>
      </c>
      <c r="N14" s="31">
        <v>2</v>
      </c>
      <c r="O14" s="31">
        <v>219</v>
      </c>
      <c r="P14" s="89">
        <f>B14-'[4]8歷年退離(教)-OK'!B14</f>
        <v>0</v>
      </c>
      <c r="Q14" s="89">
        <f>C14-'[4]8歷年退離(教)-OK'!C14</f>
        <v>0</v>
      </c>
      <c r="R14" s="89">
        <f>D14-'[4]8歷年退離(教)-OK'!D14</f>
        <v>0</v>
      </c>
      <c r="S14" s="89">
        <f>E14-'[4]8歷年退離(教)-OK'!E14</f>
        <v>0</v>
      </c>
      <c r="T14" s="89">
        <f>F14-'[4]8歷年退離(教)-OK'!F14</f>
        <v>0</v>
      </c>
      <c r="U14" s="89">
        <f>G14-'[4]8歷年退離(教)-OK'!G14</f>
        <v>0</v>
      </c>
      <c r="V14" s="89">
        <f>H14-'[4]8歷年退離(教)-OK'!H14</f>
        <v>0</v>
      </c>
      <c r="W14" s="89">
        <f>I14-'[4]8歷年退離(教)-OK'!I14</f>
        <v>0</v>
      </c>
      <c r="X14" s="89">
        <f>J14-'[4]8歷年退離(教)-OK'!J14</f>
        <v>0</v>
      </c>
      <c r="Y14" s="89">
        <f>K14-'[4]8歷年退離(教)-OK'!K14</f>
        <v>0</v>
      </c>
      <c r="Z14" s="89">
        <f>L14-'[4]8歷年退離(教)-OK'!L14</f>
        <v>0</v>
      </c>
      <c r="AA14" s="89">
        <f>M14-'[4]8歷年退離(教)-OK'!M14</f>
        <v>0</v>
      </c>
      <c r="AB14" s="89">
        <f>N14-'[4]8歷年退離(教)-OK'!N14</f>
        <v>0</v>
      </c>
      <c r="AC14" s="89">
        <f>O14-'[4]8歷年退離(教)-OK'!O14</f>
        <v>0</v>
      </c>
    </row>
    <row r="15" spans="1:29" s="8" customFormat="1" ht="53.1" customHeight="1">
      <c r="A15" s="114" t="s">
        <v>269</v>
      </c>
      <c r="B15" s="31">
        <f>C15+G15+H15+O15</f>
        <v>6040</v>
      </c>
      <c r="C15" s="31">
        <f t="shared" si="5"/>
        <v>5621</v>
      </c>
      <c r="D15" s="31">
        <v>111</v>
      </c>
      <c r="E15" s="31">
        <v>5473</v>
      </c>
      <c r="F15" s="31">
        <v>37</v>
      </c>
      <c r="G15" s="31">
        <v>38</v>
      </c>
      <c r="H15" s="31">
        <f>I15+L15</f>
        <v>92</v>
      </c>
      <c r="I15" s="31">
        <f>SUM(J15:K15)</f>
        <v>89</v>
      </c>
      <c r="J15" s="31">
        <v>25</v>
      </c>
      <c r="K15" s="31">
        <v>64</v>
      </c>
      <c r="L15" s="31">
        <f>SUM(M15:N15)</f>
        <v>3</v>
      </c>
      <c r="M15" s="31">
        <v>0</v>
      </c>
      <c r="N15" s="31">
        <v>3</v>
      </c>
      <c r="O15" s="31">
        <v>289</v>
      </c>
      <c r="P15" s="89">
        <f>B15-'[4]8歷年退離(教)-OK'!B15</f>
        <v>0</v>
      </c>
      <c r="Q15" s="89">
        <f>C15-'[4]8歷年退離(教)-OK'!C15</f>
        <v>0</v>
      </c>
      <c r="R15" s="89">
        <f>D15-'[4]8歷年退離(教)-OK'!D15</f>
        <v>0</v>
      </c>
      <c r="S15" s="89">
        <f>E15-'[4]8歷年退離(教)-OK'!E15</f>
        <v>0</v>
      </c>
      <c r="T15" s="89">
        <f>F15-'[4]8歷年退離(教)-OK'!F15</f>
        <v>0</v>
      </c>
      <c r="U15" s="89">
        <f>G15-'[4]8歷年退離(教)-OK'!G15</f>
        <v>0</v>
      </c>
      <c r="V15" s="89">
        <f>H15-'[4]8歷年退離(教)-OK'!H15</f>
        <v>0</v>
      </c>
      <c r="W15" s="89">
        <f>I15-'[4]8歷年退離(教)-OK'!I15</f>
        <v>0</v>
      </c>
      <c r="X15" s="89">
        <f>J15-'[4]8歷年退離(教)-OK'!J15</f>
        <v>0</v>
      </c>
      <c r="Y15" s="89">
        <f>K15-'[4]8歷年退離(教)-OK'!K15</f>
        <v>0</v>
      </c>
      <c r="Z15" s="89">
        <f>L15-'[4]8歷年退離(教)-OK'!L15</f>
        <v>0</v>
      </c>
      <c r="AA15" s="89">
        <f>M15-'[4]8歷年退離(教)-OK'!M15</f>
        <v>0</v>
      </c>
      <c r="AB15" s="89">
        <f>N15-'[4]8歷年退離(教)-OK'!N15</f>
        <v>0</v>
      </c>
      <c r="AC15" s="89">
        <f>O15-'[4]8歷年退離(教)-OK'!O15</f>
        <v>0</v>
      </c>
    </row>
    <row r="16" spans="1:29" s="8" customFormat="1" ht="53.1" customHeight="1">
      <c r="A16" s="114" t="s">
        <v>189</v>
      </c>
      <c r="B16" s="31">
        <f>C16+G16+H16+O16</f>
        <v>4498</v>
      </c>
      <c r="C16" s="31">
        <f t="shared" si="5"/>
        <v>4105</v>
      </c>
      <c r="D16" s="31">
        <v>112</v>
      </c>
      <c r="E16" s="31">
        <v>3976</v>
      </c>
      <c r="F16" s="31">
        <v>17</v>
      </c>
      <c r="G16" s="31">
        <v>18</v>
      </c>
      <c r="H16" s="31">
        <f>I16+L16</f>
        <v>94</v>
      </c>
      <c r="I16" s="31">
        <f>SUM(J16:K16)</f>
        <v>90</v>
      </c>
      <c r="J16" s="31">
        <v>29</v>
      </c>
      <c r="K16" s="31">
        <v>61</v>
      </c>
      <c r="L16" s="31">
        <f>SUM(M16:N16)</f>
        <v>4</v>
      </c>
      <c r="M16" s="31">
        <v>0</v>
      </c>
      <c r="N16" s="31">
        <v>4</v>
      </c>
      <c r="O16" s="31">
        <v>281</v>
      </c>
      <c r="P16" s="89">
        <f>B16-'[4]8歷年退離(教)-OK'!B16</f>
        <v>0</v>
      </c>
      <c r="Q16" s="89">
        <f>C16-'[4]8歷年退離(教)-OK'!C16</f>
        <v>0</v>
      </c>
      <c r="R16" s="89">
        <f>D16-'[4]8歷年退離(教)-OK'!D16</f>
        <v>0</v>
      </c>
      <c r="S16" s="89">
        <f>E16-'[4]8歷年退離(教)-OK'!E16</f>
        <v>0</v>
      </c>
      <c r="T16" s="89">
        <f>F16-'[4]8歷年退離(教)-OK'!F16</f>
        <v>0</v>
      </c>
      <c r="U16" s="89">
        <f>G16-'[4]8歷年退離(教)-OK'!G16</f>
        <v>0</v>
      </c>
      <c r="V16" s="89">
        <f>H16-'[4]8歷年退離(教)-OK'!H16</f>
        <v>0</v>
      </c>
      <c r="W16" s="89">
        <f>I16-'[4]8歷年退離(教)-OK'!I16</f>
        <v>0</v>
      </c>
      <c r="X16" s="89">
        <f>J16-'[4]8歷年退離(教)-OK'!J16</f>
        <v>0</v>
      </c>
      <c r="Y16" s="89">
        <f>K16-'[4]8歷年退離(教)-OK'!K16</f>
        <v>0</v>
      </c>
      <c r="Z16" s="89">
        <f>L16-'[4]8歷年退離(教)-OK'!L16</f>
        <v>0</v>
      </c>
      <c r="AA16" s="89">
        <f>M16-'[4]8歷年退離(教)-OK'!M16</f>
        <v>0</v>
      </c>
      <c r="AB16" s="89">
        <f>N16-'[4]8歷年退離(教)-OK'!N16</f>
        <v>0</v>
      </c>
      <c r="AC16" s="89">
        <f>O16-'[4]8歷年退離(教)-OK'!O16</f>
        <v>0</v>
      </c>
    </row>
    <row r="17" spans="1:15" s="8" customFormat="1" ht="53.1" customHeight="1">
      <c r="A17" s="103" t="s">
        <v>389</v>
      </c>
      <c r="B17" s="33">
        <v>4250</v>
      </c>
      <c r="C17" s="34">
        <v>3962</v>
      </c>
      <c r="D17" s="34">
        <v>87</v>
      </c>
      <c r="E17" s="34">
        <v>3852</v>
      </c>
      <c r="F17" s="34">
        <v>23</v>
      </c>
      <c r="G17" s="34">
        <v>10</v>
      </c>
      <c r="H17" s="34">
        <v>104</v>
      </c>
      <c r="I17" s="34">
        <v>101</v>
      </c>
      <c r="J17" s="34">
        <v>22</v>
      </c>
      <c r="K17" s="34">
        <v>79</v>
      </c>
      <c r="L17" s="34">
        <v>3</v>
      </c>
      <c r="M17" s="34">
        <v>0</v>
      </c>
      <c r="N17" s="34">
        <v>3</v>
      </c>
      <c r="O17" s="34">
        <v>174</v>
      </c>
    </row>
    <row r="18" spans="1:15" s="15" customFormat="1" ht="28.5" customHeight="1">
      <c r="A18" s="831" t="s">
        <v>362</v>
      </c>
      <c r="B18" s="831"/>
      <c r="C18" s="831"/>
      <c r="D18" s="831"/>
      <c r="E18" s="831"/>
      <c r="F18" s="831"/>
      <c r="G18" s="831"/>
      <c r="H18" s="831"/>
      <c r="I18" s="831"/>
      <c r="J18" s="831"/>
      <c r="K18" s="831"/>
      <c r="L18" s="831"/>
      <c r="M18" s="831"/>
      <c r="N18" s="831"/>
      <c r="O18" s="831"/>
    </row>
    <row r="19" spans="1:15" ht="20.100000000000001" customHeight="1">
      <c r="A19" s="12"/>
      <c r="B19" s="13"/>
      <c r="C19" s="13"/>
      <c r="D19" s="13" t="s">
        <v>357</v>
      </c>
      <c r="E19" s="116">
        <f>SUM(E17:F17)</f>
        <v>3875</v>
      </c>
      <c r="F19" s="13"/>
      <c r="G19" s="13"/>
      <c r="H19" s="13"/>
      <c r="I19" s="13"/>
      <c r="J19" s="13"/>
      <c r="K19" s="13"/>
      <c r="L19" s="13"/>
      <c r="M19" s="13"/>
      <c r="N19" s="13"/>
      <c r="O19" s="13"/>
    </row>
    <row r="20" spans="1:15" ht="16.5">
      <c r="A20" s="14" t="s">
        <v>358</v>
      </c>
      <c r="B20" s="143">
        <f>SUM(B7:O15)-SUM('[1]8歷年退離(教)'!$B$8:$O$16)</f>
        <v>0</v>
      </c>
    </row>
  </sheetData>
  <mergeCells count="18">
    <mergeCell ref="A18:O18"/>
    <mergeCell ref="F4:F5"/>
    <mergeCell ref="H4:H5"/>
    <mergeCell ref="A3:A5"/>
    <mergeCell ref="B3:B5"/>
    <mergeCell ref="C3:F3"/>
    <mergeCell ref="O3:O5"/>
    <mergeCell ref="L4:N4"/>
    <mergeCell ref="C4:C5"/>
    <mergeCell ref="I4:K4"/>
    <mergeCell ref="G3:G5"/>
    <mergeCell ref="D4:D5"/>
    <mergeCell ref="E4:E5"/>
    <mergeCell ref="H3:N3"/>
    <mergeCell ref="A1:H1"/>
    <mergeCell ref="I1:O1"/>
    <mergeCell ref="A2:H2"/>
    <mergeCell ref="I2:N2"/>
  </mergeCells>
  <phoneticPr fontId="3" type="noConversion"/>
  <pageMargins left="0.62992125984251968" right="0" top="0.59055118110236227" bottom="0.4" header="0" footer="0"/>
  <pageSetup paperSize="9" orientation="portrait" r:id="rId1"/>
  <headerFooter alignWithMargins="0"/>
  <colBreaks count="1" manualBreakCount="1">
    <brk id="8" max="1048575" man="1"/>
  </colBreaks>
</worksheet>
</file>

<file path=xl/worksheets/sheet11.xml><?xml version="1.0" encoding="utf-8"?>
<worksheet xmlns="http://schemas.openxmlformats.org/spreadsheetml/2006/main" xmlns:r="http://schemas.openxmlformats.org/officeDocument/2006/relationships">
  <sheetPr>
    <tabColor indexed="13"/>
  </sheetPr>
  <dimension ref="A1:Y19"/>
  <sheetViews>
    <sheetView view="pageBreakPreview" zoomScale="90" zoomScaleNormal="85" zoomScaleSheetLayoutView="90" workbookViewId="0">
      <pane xSplit="1" ySplit="5" topLeftCell="I6" activePane="bottomRight" state="frozen"/>
      <selection activeCell="E20" sqref="E20"/>
      <selection pane="topRight" activeCell="E20" sqref="E20"/>
      <selection pane="bottomLeft" activeCell="E20" sqref="E20"/>
      <selection pane="bottomRight" activeCell="E20" sqref="E20"/>
    </sheetView>
  </sheetViews>
  <sheetFormatPr defaultColWidth="6.5" defaultRowHeight="74.25" customHeight="1"/>
  <cols>
    <col min="1" max="1" width="7.625" style="14" customWidth="1"/>
    <col min="2" max="6" width="13.625" style="1" customWidth="1"/>
    <col min="7" max="7" width="14.625" style="1" customWidth="1"/>
    <col min="8" max="13" width="15.375" style="1" customWidth="1"/>
    <col min="14" max="14" width="6.875" style="1" bestFit="1" customWidth="1"/>
    <col min="15" max="16384" width="6.5" style="1"/>
  </cols>
  <sheetData>
    <row r="1" spans="1:25" ht="33" customHeight="1">
      <c r="A1" s="787" t="s">
        <v>271</v>
      </c>
      <c r="B1" s="787"/>
      <c r="C1" s="787"/>
      <c r="D1" s="787"/>
      <c r="E1" s="787"/>
      <c r="F1" s="787"/>
      <c r="G1" s="787"/>
      <c r="H1" s="813" t="s">
        <v>199</v>
      </c>
      <c r="I1" s="813"/>
      <c r="J1" s="813"/>
      <c r="K1" s="813"/>
      <c r="L1" s="813"/>
      <c r="M1" s="813"/>
    </row>
    <row r="2" spans="1:25" s="2" customFormat="1" ht="33" customHeight="1">
      <c r="A2" s="788" t="s">
        <v>397</v>
      </c>
      <c r="B2" s="788"/>
      <c r="C2" s="788"/>
      <c r="D2" s="788"/>
      <c r="E2" s="788"/>
      <c r="F2" s="788"/>
      <c r="G2" s="788"/>
      <c r="H2" s="830" t="s">
        <v>395</v>
      </c>
      <c r="I2" s="830"/>
      <c r="J2" s="830"/>
      <c r="K2" s="830"/>
      <c r="L2" s="830"/>
      <c r="M2" s="115" t="s">
        <v>202</v>
      </c>
    </row>
    <row r="3" spans="1:25" s="2" customFormat="1" ht="29.25" customHeight="1">
      <c r="A3" s="793" t="s">
        <v>48</v>
      </c>
      <c r="B3" s="811" t="s">
        <v>49</v>
      </c>
      <c r="C3" s="795" t="s">
        <v>84</v>
      </c>
      <c r="D3" s="795"/>
      <c r="E3" s="795"/>
      <c r="F3" s="822" t="s">
        <v>67</v>
      </c>
      <c r="G3" s="835"/>
      <c r="H3" s="835"/>
      <c r="I3" s="835"/>
      <c r="J3" s="835"/>
      <c r="K3" s="835"/>
      <c r="L3" s="835"/>
      <c r="M3" s="796" t="s">
        <v>77</v>
      </c>
      <c r="N3" s="3"/>
    </row>
    <row r="4" spans="1:25" s="2" customFormat="1" ht="29.25" customHeight="1">
      <c r="A4" s="793"/>
      <c r="B4" s="811"/>
      <c r="C4" s="819" t="s">
        <v>58</v>
      </c>
      <c r="D4" s="817" t="s">
        <v>152</v>
      </c>
      <c r="E4" s="819" t="s">
        <v>203</v>
      </c>
      <c r="F4" s="819" t="s">
        <v>58</v>
      </c>
      <c r="G4" s="107"/>
      <c r="H4" s="824" t="s">
        <v>197</v>
      </c>
      <c r="I4" s="793"/>
      <c r="J4" s="812" t="s">
        <v>198</v>
      </c>
      <c r="K4" s="824"/>
      <c r="L4" s="793"/>
      <c r="M4" s="796"/>
      <c r="N4" s="3"/>
    </row>
    <row r="5" spans="1:25" s="2" customFormat="1" ht="45" customHeight="1">
      <c r="A5" s="793"/>
      <c r="B5" s="811"/>
      <c r="C5" s="820"/>
      <c r="D5" s="832"/>
      <c r="E5" s="820"/>
      <c r="F5" s="823"/>
      <c r="G5" s="101" t="s">
        <v>258</v>
      </c>
      <c r="H5" s="104" t="s">
        <v>83</v>
      </c>
      <c r="I5" s="99" t="s">
        <v>347</v>
      </c>
      <c r="J5" s="101" t="s">
        <v>258</v>
      </c>
      <c r="K5" s="101" t="s">
        <v>10</v>
      </c>
      <c r="L5" s="99" t="s">
        <v>347</v>
      </c>
      <c r="M5" s="796"/>
      <c r="N5" s="61" t="s">
        <v>423</v>
      </c>
    </row>
    <row r="6" spans="1:25" s="2" customFormat="1" ht="53.1" customHeight="1">
      <c r="A6" s="114" t="s">
        <v>61</v>
      </c>
      <c r="B6" s="30">
        <f>SUM(B8:B17)</f>
        <v>140001</v>
      </c>
      <c r="C6" s="30">
        <f t="shared" ref="C6:M6" si="0">SUM(C8:C17)</f>
        <v>118867</v>
      </c>
      <c r="D6" s="30">
        <f t="shared" si="0"/>
        <v>87512</v>
      </c>
      <c r="E6" s="30">
        <f t="shared" si="0"/>
        <v>31355</v>
      </c>
      <c r="F6" s="30">
        <f t="shared" si="0"/>
        <v>608</v>
      </c>
      <c r="G6" s="30">
        <f t="shared" si="0"/>
        <v>391</v>
      </c>
      <c r="H6" s="30">
        <f t="shared" si="0"/>
        <v>9</v>
      </c>
      <c r="I6" s="30">
        <f t="shared" si="0"/>
        <v>382</v>
      </c>
      <c r="J6" s="30">
        <f t="shared" si="0"/>
        <v>217</v>
      </c>
      <c r="K6" s="30">
        <f t="shared" si="0"/>
        <v>0</v>
      </c>
      <c r="L6" s="30">
        <f t="shared" si="0"/>
        <v>217</v>
      </c>
      <c r="M6" s="30">
        <f t="shared" si="0"/>
        <v>20526</v>
      </c>
      <c r="N6" s="119">
        <f>B6-B17-'[4]9歷年退離(軍)-OK'!B6+'[4]9歷年退離(軍)-OK'!B7</f>
        <v>0</v>
      </c>
      <c r="O6" s="119">
        <f>C6-C17-'[4]9歷年退離(軍)-OK'!C6+'[4]9歷年退離(軍)-OK'!C7</f>
        <v>0</v>
      </c>
      <c r="P6" s="119">
        <f>D6-D17-'[4]9歷年退離(軍)-OK'!D6+'[4]9歷年退離(軍)-OK'!D7</f>
        <v>0</v>
      </c>
      <c r="Q6" s="119">
        <f>E6-E17-'[4]9歷年退離(軍)-OK'!E6+'[4]9歷年退離(軍)-OK'!E7</f>
        <v>0</v>
      </c>
      <c r="R6" s="119">
        <f>F6-F17-'[4]9歷年退離(軍)-OK'!F6+'[4]9歷年退離(軍)-OK'!F7</f>
        <v>0</v>
      </c>
      <c r="S6" s="119">
        <f>G6-G17-'[4]9歷年退離(軍)-OK'!G6+'[4]9歷年退離(軍)-OK'!G7</f>
        <v>0</v>
      </c>
      <c r="T6" s="119">
        <f>H6-H17-'[4]9歷年退離(軍)-OK'!H6+'[4]9歷年退離(軍)-OK'!H7</f>
        <v>0</v>
      </c>
      <c r="U6" s="119">
        <f>I6-I17-'[4]9歷年退離(軍)-OK'!I6+'[4]9歷年退離(軍)-OK'!I7</f>
        <v>0</v>
      </c>
      <c r="V6" s="119">
        <f>J6-J17-'[4]9歷年退離(軍)-OK'!J6+'[4]9歷年退離(軍)-OK'!J7</f>
        <v>0</v>
      </c>
      <c r="W6" s="119">
        <f>K6-K17-'[4]9歷年退離(軍)-OK'!K6+'[4]9歷年退離(軍)-OK'!K7</f>
        <v>0</v>
      </c>
      <c r="X6" s="119">
        <f>L6-L17-'[4]9歷年退離(軍)-OK'!L6+'[4]9歷年退離(軍)-OK'!L7</f>
        <v>0</v>
      </c>
      <c r="Y6" s="119">
        <f>M6-M17-'[4]9歷年退離(軍)-OK'!M6+'[4]9歷年退離(軍)-OK'!M7</f>
        <v>0</v>
      </c>
    </row>
    <row r="7" spans="1:25" s="8" customFormat="1" ht="53.1" hidden="1" customHeight="1">
      <c r="A7" s="114" t="s">
        <v>2</v>
      </c>
      <c r="B7" s="31">
        <f t="shared" ref="B7:B12" si="1">C7+F7+M7</f>
        <v>5422</v>
      </c>
      <c r="C7" s="30">
        <f t="shared" ref="C7:C12" si="2">SUM(D7:E7)</f>
        <v>4862</v>
      </c>
      <c r="D7" s="31">
        <v>2301</v>
      </c>
      <c r="E7" s="31">
        <v>2561</v>
      </c>
      <c r="F7" s="31">
        <f t="shared" ref="F7:F12" si="3">G7+J7</f>
        <v>70</v>
      </c>
      <c r="G7" s="30">
        <f t="shared" ref="G7:G12" si="4">SUM(H7:I7)</f>
        <v>43</v>
      </c>
      <c r="H7" s="31">
        <v>0</v>
      </c>
      <c r="I7" s="31">
        <v>43</v>
      </c>
      <c r="J7" s="31">
        <f t="shared" ref="J7:J12" si="5">SUM(K7:L7)</f>
        <v>27</v>
      </c>
      <c r="K7" s="31">
        <v>0</v>
      </c>
      <c r="L7" s="31">
        <v>27</v>
      </c>
      <c r="M7" s="31">
        <v>490</v>
      </c>
      <c r="N7" s="89"/>
      <c r="O7" s="89"/>
      <c r="P7" s="89"/>
      <c r="Q7" s="89"/>
      <c r="R7" s="89"/>
      <c r="S7" s="89"/>
      <c r="T7" s="89"/>
      <c r="U7" s="89"/>
      <c r="V7" s="89"/>
      <c r="W7" s="89"/>
      <c r="X7" s="89"/>
      <c r="Y7" s="89"/>
    </row>
    <row r="8" spans="1:25" s="8" customFormat="1" ht="53.1" customHeight="1">
      <c r="A8" s="114" t="s">
        <v>3</v>
      </c>
      <c r="B8" s="31">
        <f t="shared" si="1"/>
        <v>9430</v>
      </c>
      <c r="C8" s="30">
        <f t="shared" si="2"/>
        <v>7602</v>
      </c>
      <c r="D8" s="31">
        <v>4138</v>
      </c>
      <c r="E8" s="31">
        <v>3464</v>
      </c>
      <c r="F8" s="31">
        <f t="shared" si="3"/>
        <v>65</v>
      </c>
      <c r="G8" s="30">
        <f t="shared" si="4"/>
        <v>32</v>
      </c>
      <c r="H8" s="31">
        <v>0</v>
      </c>
      <c r="I8" s="31">
        <v>32</v>
      </c>
      <c r="J8" s="31">
        <f t="shared" si="5"/>
        <v>33</v>
      </c>
      <c r="K8" s="31">
        <v>0</v>
      </c>
      <c r="L8" s="31">
        <v>33</v>
      </c>
      <c r="M8" s="31">
        <v>1763</v>
      </c>
      <c r="N8" s="89">
        <f>B8-'[4]9歷年退離(軍)-OK'!B8</f>
        <v>0</v>
      </c>
      <c r="O8" s="89">
        <f>C8-'[4]9歷年退離(軍)-OK'!C8</f>
        <v>0</v>
      </c>
      <c r="P8" s="89">
        <f>D8-'[4]9歷年退離(軍)-OK'!D8</f>
        <v>0</v>
      </c>
      <c r="Q8" s="89">
        <f>E8-'[4]9歷年退離(軍)-OK'!E8</f>
        <v>0</v>
      </c>
      <c r="R8" s="89">
        <f>F8-'[4]9歷年退離(軍)-OK'!F8</f>
        <v>0</v>
      </c>
      <c r="S8" s="89">
        <f>G8-'[4]9歷年退離(軍)-OK'!G8</f>
        <v>0</v>
      </c>
      <c r="T8" s="89">
        <f>H8-'[4]9歷年退離(軍)-OK'!H8</f>
        <v>0</v>
      </c>
      <c r="U8" s="89">
        <f>I8-'[4]9歷年退離(軍)-OK'!I8</f>
        <v>0</v>
      </c>
      <c r="V8" s="89">
        <f>J8-'[4]9歷年退離(軍)-OK'!J8</f>
        <v>0</v>
      </c>
      <c r="W8" s="89">
        <f>K8-'[4]9歷年退離(軍)-OK'!K8</f>
        <v>0</v>
      </c>
      <c r="X8" s="89">
        <f>L8-'[4]9歷年退離(軍)-OK'!L8</f>
        <v>0</v>
      </c>
      <c r="Y8" s="89">
        <f>M8-'[4]9歷年退離(軍)-OK'!M8</f>
        <v>0</v>
      </c>
    </row>
    <row r="9" spans="1:25" s="8" customFormat="1" ht="53.1" customHeight="1">
      <c r="A9" s="114" t="s">
        <v>4</v>
      </c>
      <c r="B9" s="31">
        <f t="shared" si="1"/>
        <v>15252</v>
      </c>
      <c r="C9" s="30">
        <f t="shared" si="2"/>
        <v>13096</v>
      </c>
      <c r="D9" s="31">
        <v>9727</v>
      </c>
      <c r="E9" s="31">
        <v>3369</v>
      </c>
      <c r="F9" s="31">
        <f t="shared" si="3"/>
        <v>72</v>
      </c>
      <c r="G9" s="30">
        <f t="shared" si="4"/>
        <v>36</v>
      </c>
      <c r="H9" s="31">
        <v>1</v>
      </c>
      <c r="I9" s="31">
        <v>35</v>
      </c>
      <c r="J9" s="31">
        <f t="shared" si="5"/>
        <v>36</v>
      </c>
      <c r="K9" s="31">
        <v>0</v>
      </c>
      <c r="L9" s="31">
        <v>36</v>
      </c>
      <c r="M9" s="31">
        <v>2084</v>
      </c>
      <c r="N9" s="89">
        <f>B9-'[4]9歷年退離(軍)-OK'!B9</f>
        <v>0</v>
      </c>
      <c r="O9" s="89">
        <f>C9-'[4]9歷年退離(軍)-OK'!C9</f>
        <v>0</v>
      </c>
      <c r="P9" s="89">
        <f>D9-'[4]9歷年退離(軍)-OK'!D9</f>
        <v>0</v>
      </c>
      <c r="Q9" s="89">
        <f>E9-'[4]9歷年退離(軍)-OK'!E9</f>
        <v>0</v>
      </c>
      <c r="R9" s="89">
        <f>F9-'[4]9歷年退離(軍)-OK'!F9</f>
        <v>0</v>
      </c>
      <c r="S9" s="89">
        <f>G9-'[4]9歷年退離(軍)-OK'!G9</f>
        <v>0</v>
      </c>
      <c r="T9" s="89">
        <f>H9-'[4]9歷年退離(軍)-OK'!H9</f>
        <v>0</v>
      </c>
      <c r="U9" s="89">
        <f>I9-'[4]9歷年退離(軍)-OK'!I9</f>
        <v>0</v>
      </c>
      <c r="V9" s="89">
        <f>J9-'[4]9歷年退離(軍)-OK'!J9</f>
        <v>0</v>
      </c>
      <c r="W9" s="89">
        <f>K9-'[4]9歷年退離(軍)-OK'!K9</f>
        <v>0</v>
      </c>
      <c r="X9" s="89">
        <f>L9-'[4]9歷年退離(軍)-OK'!L9</f>
        <v>0</v>
      </c>
      <c r="Y9" s="89">
        <f>M9-'[4]9歷年退離(軍)-OK'!M9</f>
        <v>0</v>
      </c>
    </row>
    <row r="10" spans="1:25" s="8" customFormat="1" ht="53.1" customHeight="1">
      <c r="A10" s="114" t="s">
        <v>5</v>
      </c>
      <c r="B10" s="31">
        <f t="shared" si="1"/>
        <v>16133</v>
      </c>
      <c r="C10" s="30">
        <f t="shared" si="2"/>
        <v>15027</v>
      </c>
      <c r="D10" s="31">
        <v>11418</v>
      </c>
      <c r="E10" s="31">
        <v>3609</v>
      </c>
      <c r="F10" s="31">
        <f t="shared" si="3"/>
        <v>64</v>
      </c>
      <c r="G10" s="30">
        <f t="shared" si="4"/>
        <v>37</v>
      </c>
      <c r="H10" s="31">
        <v>0</v>
      </c>
      <c r="I10" s="31">
        <v>37</v>
      </c>
      <c r="J10" s="31">
        <f t="shared" si="5"/>
        <v>27</v>
      </c>
      <c r="K10" s="31">
        <v>0</v>
      </c>
      <c r="L10" s="31">
        <v>27</v>
      </c>
      <c r="M10" s="31">
        <v>1042</v>
      </c>
      <c r="N10" s="89">
        <f>B10-'[4]9歷年退離(軍)-OK'!B10</f>
        <v>0</v>
      </c>
      <c r="O10" s="89">
        <f>C10-'[4]9歷年退離(軍)-OK'!C10</f>
        <v>0</v>
      </c>
      <c r="P10" s="89">
        <f>D10-'[4]9歷年退離(軍)-OK'!D10</f>
        <v>0</v>
      </c>
      <c r="Q10" s="89">
        <f>E10-'[4]9歷年退離(軍)-OK'!E10</f>
        <v>0</v>
      </c>
      <c r="R10" s="89">
        <f>F10-'[4]9歷年退離(軍)-OK'!F10</f>
        <v>0</v>
      </c>
      <c r="S10" s="89">
        <f>G10-'[4]9歷年退離(軍)-OK'!G10</f>
        <v>0</v>
      </c>
      <c r="T10" s="89">
        <f>H10-'[4]9歷年退離(軍)-OK'!H10</f>
        <v>0</v>
      </c>
      <c r="U10" s="89">
        <f>I10-'[4]9歷年退離(軍)-OK'!I10</f>
        <v>0</v>
      </c>
      <c r="V10" s="89">
        <f>J10-'[4]9歷年退離(軍)-OK'!J10</f>
        <v>0</v>
      </c>
      <c r="W10" s="89">
        <f>K10-'[4]9歷年退離(軍)-OK'!K10</f>
        <v>0</v>
      </c>
      <c r="X10" s="89">
        <f>L10-'[4]9歷年退離(軍)-OK'!L10</f>
        <v>0</v>
      </c>
      <c r="Y10" s="89">
        <f>M10-'[4]9歷年退離(軍)-OK'!M10</f>
        <v>0</v>
      </c>
    </row>
    <row r="11" spans="1:25" s="8" customFormat="1" ht="53.1" customHeight="1">
      <c r="A11" s="114" t="s">
        <v>6</v>
      </c>
      <c r="B11" s="31">
        <f t="shared" si="1"/>
        <v>18094</v>
      </c>
      <c r="C11" s="30">
        <f t="shared" si="2"/>
        <v>17078</v>
      </c>
      <c r="D11" s="31">
        <v>12767</v>
      </c>
      <c r="E11" s="31">
        <v>4311</v>
      </c>
      <c r="F11" s="31">
        <f t="shared" si="3"/>
        <v>40</v>
      </c>
      <c r="G11" s="30">
        <f t="shared" si="4"/>
        <v>28</v>
      </c>
      <c r="H11" s="31">
        <v>2</v>
      </c>
      <c r="I11" s="31">
        <v>26</v>
      </c>
      <c r="J11" s="31">
        <f t="shared" si="5"/>
        <v>12</v>
      </c>
      <c r="K11" s="31">
        <v>0</v>
      </c>
      <c r="L11" s="31">
        <v>12</v>
      </c>
      <c r="M11" s="31">
        <v>976</v>
      </c>
      <c r="N11" s="89">
        <f>B11-'[4]9歷年退離(軍)-OK'!B11</f>
        <v>0</v>
      </c>
      <c r="O11" s="89">
        <f>C11-'[4]9歷年退離(軍)-OK'!C11</f>
        <v>0</v>
      </c>
      <c r="P11" s="89">
        <f>D11-'[4]9歷年退離(軍)-OK'!D11</f>
        <v>0</v>
      </c>
      <c r="Q11" s="89">
        <f>E11-'[4]9歷年退離(軍)-OK'!E11</f>
        <v>0</v>
      </c>
      <c r="R11" s="89">
        <f>F11-'[4]9歷年退離(軍)-OK'!F11</f>
        <v>0</v>
      </c>
      <c r="S11" s="89">
        <f>G11-'[4]9歷年退離(軍)-OK'!G11</f>
        <v>0</v>
      </c>
      <c r="T11" s="89">
        <f>H11-'[4]9歷年退離(軍)-OK'!H11</f>
        <v>0</v>
      </c>
      <c r="U11" s="89">
        <f>I11-'[4]9歷年退離(軍)-OK'!I11</f>
        <v>0</v>
      </c>
      <c r="V11" s="89">
        <f>J11-'[4]9歷年退離(軍)-OK'!J11</f>
        <v>0</v>
      </c>
      <c r="W11" s="89">
        <f>K11-'[4]9歷年退離(軍)-OK'!K11</f>
        <v>0</v>
      </c>
      <c r="X11" s="89">
        <f>L11-'[4]9歷年退離(軍)-OK'!L11</f>
        <v>0</v>
      </c>
      <c r="Y11" s="89">
        <f>M11-'[4]9歷年退離(軍)-OK'!M11</f>
        <v>0</v>
      </c>
    </row>
    <row r="12" spans="1:25" s="8" customFormat="1" ht="53.1" customHeight="1">
      <c r="A12" s="114" t="s">
        <v>7</v>
      </c>
      <c r="B12" s="31">
        <f t="shared" si="1"/>
        <v>13322</v>
      </c>
      <c r="C12" s="30">
        <f t="shared" si="2"/>
        <v>12295</v>
      </c>
      <c r="D12" s="31">
        <v>9210</v>
      </c>
      <c r="E12" s="31">
        <v>3085</v>
      </c>
      <c r="F12" s="31">
        <f t="shared" si="3"/>
        <v>49</v>
      </c>
      <c r="G12" s="30">
        <f t="shared" si="4"/>
        <v>28</v>
      </c>
      <c r="H12" s="31">
        <v>2</v>
      </c>
      <c r="I12" s="31">
        <v>26</v>
      </c>
      <c r="J12" s="31">
        <f t="shared" si="5"/>
        <v>21</v>
      </c>
      <c r="K12" s="31">
        <v>0</v>
      </c>
      <c r="L12" s="31">
        <v>21</v>
      </c>
      <c r="M12" s="31">
        <v>978</v>
      </c>
      <c r="N12" s="89">
        <f>B12-'[4]9歷年退離(軍)-OK'!B12</f>
        <v>0</v>
      </c>
      <c r="O12" s="89">
        <f>C12-'[4]9歷年退離(軍)-OK'!C12</f>
        <v>0</v>
      </c>
      <c r="P12" s="89">
        <f>D12-'[4]9歷年退離(軍)-OK'!D12</f>
        <v>0</v>
      </c>
      <c r="Q12" s="89">
        <f>E12-'[4]9歷年退離(軍)-OK'!E12</f>
        <v>0</v>
      </c>
      <c r="R12" s="89">
        <f>F12-'[4]9歷年退離(軍)-OK'!F12</f>
        <v>0</v>
      </c>
      <c r="S12" s="89">
        <f>G12-'[4]9歷年退離(軍)-OK'!G12</f>
        <v>0</v>
      </c>
      <c r="T12" s="89">
        <f>H12-'[4]9歷年退離(軍)-OK'!H12</f>
        <v>0</v>
      </c>
      <c r="U12" s="89">
        <f>I12-'[4]9歷年退離(軍)-OK'!I12</f>
        <v>0</v>
      </c>
      <c r="V12" s="89">
        <f>J12-'[4]9歷年退離(軍)-OK'!J12</f>
        <v>0</v>
      </c>
      <c r="W12" s="89">
        <f>K12-'[4]9歷年退離(軍)-OK'!K12</f>
        <v>0</v>
      </c>
      <c r="X12" s="89">
        <f>L12-'[4]9歷年退離(軍)-OK'!L12</f>
        <v>0</v>
      </c>
      <c r="Y12" s="89">
        <f>M12-'[4]9歷年退離(軍)-OK'!M12</f>
        <v>0</v>
      </c>
    </row>
    <row r="13" spans="1:25" s="8" customFormat="1" ht="53.1" customHeight="1">
      <c r="A13" s="114" t="s">
        <v>55</v>
      </c>
      <c r="B13" s="31">
        <f>C13+F13+M13</f>
        <v>12183</v>
      </c>
      <c r="C13" s="30">
        <f>SUM(D13:E13)</f>
        <v>10380</v>
      </c>
      <c r="D13" s="31">
        <v>6552</v>
      </c>
      <c r="E13" s="31">
        <v>3828</v>
      </c>
      <c r="F13" s="31">
        <f>G13+J13</f>
        <v>51</v>
      </c>
      <c r="G13" s="30">
        <f>SUM(H13:I13)</f>
        <v>33</v>
      </c>
      <c r="H13" s="31">
        <v>1</v>
      </c>
      <c r="I13" s="31">
        <v>32</v>
      </c>
      <c r="J13" s="31">
        <f>SUM(K13:L13)</f>
        <v>18</v>
      </c>
      <c r="K13" s="31">
        <v>0</v>
      </c>
      <c r="L13" s="31">
        <v>18</v>
      </c>
      <c r="M13" s="31">
        <v>1752</v>
      </c>
      <c r="N13" s="89">
        <f>B13-'[4]9歷年退離(軍)-OK'!B13</f>
        <v>0</v>
      </c>
      <c r="O13" s="89">
        <f>C13-'[4]9歷年退離(軍)-OK'!C13</f>
        <v>0</v>
      </c>
      <c r="P13" s="89">
        <f>D13-'[4]9歷年退離(軍)-OK'!D13</f>
        <v>0</v>
      </c>
      <c r="Q13" s="89">
        <f>E13-'[4]9歷年退離(軍)-OK'!E13</f>
        <v>0</v>
      </c>
      <c r="R13" s="89">
        <f>F13-'[4]9歷年退離(軍)-OK'!F13</f>
        <v>0</v>
      </c>
      <c r="S13" s="89">
        <f>G13-'[4]9歷年退離(軍)-OK'!G13</f>
        <v>0</v>
      </c>
      <c r="T13" s="89">
        <f>H13-'[4]9歷年退離(軍)-OK'!H13</f>
        <v>0</v>
      </c>
      <c r="U13" s="89">
        <f>I13-'[4]9歷年退離(軍)-OK'!I13</f>
        <v>0</v>
      </c>
      <c r="V13" s="89">
        <f>J13-'[4]9歷年退離(軍)-OK'!J13</f>
        <v>0</v>
      </c>
      <c r="W13" s="89">
        <f>K13-'[4]9歷年退離(軍)-OK'!K13</f>
        <v>0</v>
      </c>
      <c r="X13" s="89">
        <f>L13-'[4]9歷年退離(軍)-OK'!L13</f>
        <v>0</v>
      </c>
      <c r="Y13" s="89">
        <f>M13-'[4]9歷年退離(軍)-OK'!M13</f>
        <v>0</v>
      </c>
    </row>
    <row r="14" spans="1:25" s="8" customFormat="1" ht="53.1" customHeight="1">
      <c r="A14" s="114" t="s">
        <v>99</v>
      </c>
      <c r="B14" s="31">
        <f>C14+F14+M14</f>
        <v>14396</v>
      </c>
      <c r="C14" s="30">
        <f>SUM(D14:E14)</f>
        <v>10992</v>
      </c>
      <c r="D14" s="31">
        <v>6997</v>
      </c>
      <c r="E14" s="31">
        <v>3995</v>
      </c>
      <c r="F14" s="31">
        <f>G14+J14</f>
        <v>75</v>
      </c>
      <c r="G14" s="30">
        <f>SUM(H14:I14)</f>
        <v>50</v>
      </c>
      <c r="H14" s="31">
        <v>2</v>
      </c>
      <c r="I14" s="31">
        <v>48</v>
      </c>
      <c r="J14" s="31">
        <f>SUM(K14:L14)</f>
        <v>25</v>
      </c>
      <c r="K14" s="31">
        <v>0</v>
      </c>
      <c r="L14" s="31">
        <v>25</v>
      </c>
      <c r="M14" s="31">
        <v>3329</v>
      </c>
      <c r="N14" s="89">
        <f>B14-'[4]9歷年退離(軍)-OK'!B14</f>
        <v>0</v>
      </c>
      <c r="O14" s="89">
        <f>C14-'[4]9歷年退離(軍)-OK'!C14</f>
        <v>0</v>
      </c>
      <c r="P14" s="89">
        <f>D14-'[4]9歷年退離(軍)-OK'!D14</f>
        <v>0</v>
      </c>
      <c r="Q14" s="89">
        <f>E14-'[4]9歷年退離(軍)-OK'!E14</f>
        <v>0</v>
      </c>
      <c r="R14" s="89">
        <f>F14-'[4]9歷年退離(軍)-OK'!F14</f>
        <v>0</v>
      </c>
      <c r="S14" s="89">
        <f>G14-'[4]9歷年退離(軍)-OK'!G14</f>
        <v>0</v>
      </c>
      <c r="T14" s="89">
        <f>H14-'[4]9歷年退離(軍)-OK'!H14</f>
        <v>0</v>
      </c>
      <c r="U14" s="89">
        <f>I14-'[4]9歷年退離(軍)-OK'!I14</f>
        <v>0</v>
      </c>
      <c r="V14" s="89">
        <f>J14-'[4]9歷年退離(軍)-OK'!J14</f>
        <v>0</v>
      </c>
      <c r="W14" s="89">
        <f>K14-'[4]9歷年退離(軍)-OK'!K14</f>
        <v>0</v>
      </c>
      <c r="X14" s="89">
        <f>L14-'[4]9歷年退離(軍)-OK'!L14</f>
        <v>0</v>
      </c>
      <c r="Y14" s="89">
        <f>M14-'[4]9歷年退離(軍)-OK'!M14</f>
        <v>0</v>
      </c>
    </row>
    <row r="15" spans="1:25" s="8" customFormat="1" ht="53.1" customHeight="1">
      <c r="A15" s="114" t="s">
        <v>98</v>
      </c>
      <c r="B15" s="31">
        <f>C15+F15+M15</f>
        <v>14051</v>
      </c>
      <c r="C15" s="30">
        <f>SUM(D15:E15)</f>
        <v>10741</v>
      </c>
      <c r="D15" s="31">
        <v>8227</v>
      </c>
      <c r="E15" s="31">
        <v>2514</v>
      </c>
      <c r="F15" s="31">
        <f>G15+J15</f>
        <v>61</v>
      </c>
      <c r="G15" s="30">
        <f>SUM(H15:I15)</f>
        <v>52</v>
      </c>
      <c r="H15" s="31">
        <v>1</v>
      </c>
      <c r="I15" s="31">
        <v>51</v>
      </c>
      <c r="J15" s="31">
        <f>SUM(K15:L15)</f>
        <v>9</v>
      </c>
      <c r="K15" s="31">
        <v>0</v>
      </c>
      <c r="L15" s="31">
        <v>9</v>
      </c>
      <c r="M15" s="31">
        <v>3249</v>
      </c>
      <c r="N15" s="89">
        <f>B15-'[4]9歷年退離(軍)-OK'!B15</f>
        <v>0</v>
      </c>
      <c r="O15" s="89">
        <f>C15-'[4]9歷年退離(軍)-OK'!C15</f>
        <v>0</v>
      </c>
      <c r="P15" s="89">
        <f>D15-'[4]9歷年退離(軍)-OK'!D15</f>
        <v>0</v>
      </c>
      <c r="Q15" s="89">
        <f>E15-'[4]9歷年退離(軍)-OK'!E15</f>
        <v>0</v>
      </c>
      <c r="R15" s="89">
        <f>F15-'[4]9歷年退離(軍)-OK'!F15</f>
        <v>0</v>
      </c>
      <c r="S15" s="89">
        <f>G15-'[4]9歷年退離(軍)-OK'!G15</f>
        <v>0</v>
      </c>
      <c r="T15" s="89">
        <f>H15-'[4]9歷年退離(軍)-OK'!H15</f>
        <v>0</v>
      </c>
      <c r="U15" s="89">
        <f>I15-'[4]9歷年退離(軍)-OK'!I15</f>
        <v>0</v>
      </c>
      <c r="V15" s="89">
        <f>J15-'[4]9歷年退離(軍)-OK'!J15</f>
        <v>0</v>
      </c>
      <c r="W15" s="89">
        <f>K15-'[4]9歷年退離(軍)-OK'!K15</f>
        <v>0</v>
      </c>
      <c r="X15" s="89">
        <f>L15-'[4]9歷年退離(軍)-OK'!L15</f>
        <v>0</v>
      </c>
      <c r="Y15" s="89">
        <f>M15-'[4]9歷年退離(軍)-OK'!M15</f>
        <v>0</v>
      </c>
    </row>
    <row r="16" spans="1:25" s="8" customFormat="1" ht="53.1" customHeight="1">
      <c r="A16" s="114" t="s">
        <v>189</v>
      </c>
      <c r="B16" s="31">
        <f>C16+F16+M16</f>
        <v>12542</v>
      </c>
      <c r="C16" s="30">
        <f>SUM(D16:E16)</f>
        <v>10178</v>
      </c>
      <c r="D16" s="31">
        <v>9013</v>
      </c>
      <c r="E16" s="31">
        <v>1165</v>
      </c>
      <c r="F16" s="31">
        <f>G16+J16</f>
        <v>62</v>
      </c>
      <c r="G16" s="30">
        <f>SUM(H16:I16)</f>
        <v>38</v>
      </c>
      <c r="H16" s="31">
        <v>0</v>
      </c>
      <c r="I16" s="31">
        <v>38</v>
      </c>
      <c r="J16" s="31">
        <f>SUM(K16:L16)</f>
        <v>24</v>
      </c>
      <c r="K16" s="31">
        <v>0</v>
      </c>
      <c r="L16" s="31">
        <v>24</v>
      </c>
      <c r="M16" s="31">
        <v>2302</v>
      </c>
      <c r="N16" s="89">
        <f>B16-'[4]9歷年退離(軍)-OK'!B16</f>
        <v>0</v>
      </c>
      <c r="O16" s="89">
        <f>C16-'[4]9歷年退離(軍)-OK'!C16</f>
        <v>0</v>
      </c>
      <c r="P16" s="89">
        <f>D16-'[4]9歷年退離(軍)-OK'!D16</f>
        <v>0</v>
      </c>
      <c r="Q16" s="89">
        <f>E16-'[4]9歷年退離(軍)-OK'!E16</f>
        <v>0</v>
      </c>
      <c r="R16" s="89">
        <f>F16-'[4]9歷年退離(軍)-OK'!F16</f>
        <v>0</v>
      </c>
      <c r="S16" s="89">
        <f>G16-'[4]9歷年退離(軍)-OK'!G16</f>
        <v>0</v>
      </c>
      <c r="T16" s="89">
        <f>H16-'[4]9歷年退離(軍)-OK'!H16</f>
        <v>0</v>
      </c>
      <c r="U16" s="89">
        <f>I16-'[4]9歷年退離(軍)-OK'!I16</f>
        <v>0</v>
      </c>
      <c r="V16" s="89">
        <f>J16-'[4]9歷年退離(軍)-OK'!J16</f>
        <v>0</v>
      </c>
      <c r="W16" s="89">
        <f>K16-'[4]9歷年退離(軍)-OK'!K16</f>
        <v>0</v>
      </c>
      <c r="X16" s="89">
        <f>L16-'[4]9歷年退離(軍)-OK'!L16</f>
        <v>0</v>
      </c>
      <c r="Y16" s="89">
        <f>M16-'[4]9歷年退離(軍)-OK'!M16</f>
        <v>0</v>
      </c>
    </row>
    <row r="17" spans="1:13" s="8" customFormat="1" ht="53.1" customHeight="1">
      <c r="A17" s="114" t="s">
        <v>389</v>
      </c>
      <c r="B17" s="31">
        <v>14598</v>
      </c>
      <c r="C17" s="30">
        <v>11478</v>
      </c>
      <c r="D17" s="31">
        <v>9463</v>
      </c>
      <c r="E17" s="31">
        <v>2015</v>
      </c>
      <c r="F17" s="31">
        <v>69</v>
      </c>
      <c r="G17" s="30">
        <v>57</v>
      </c>
      <c r="H17" s="31">
        <v>0</v>
      </c>
      <c r="I17" s="31">
        <v>57</v>
      </c>
      <c r="J17" s="31">
        <v>12</v>
      </c>
      <c r="K17" s="31">
        <v>0</v>
      </c>
      <c r="L17" s="31">
        <v>12</v>
      </c>
      <c r="M17" s="31">
        <v>3051</v>
      </c>
    </row>
    <row r="18" spans="1:13" ht="20.100000000000001" customHeight="1">
      <c r="A18" s="833" t="s">
        <v>204</v>
      </c>
      <c r="B18" s="834"/>
      <c r="C18" s="834"/>
      <c r="D18" s="834"/>
      <c r="E18" s="834"/>
      <c r="F18" s="834"/>
      <c r="G18" s="834"/>
      <c r="H18" s="834"/>
      <c r="I18" s="834"/>
      <c r="J18" s="834"/>
      <c r="K18" s="834"/>
      <c r="L18" s="834"/>
      <c r="M18" s="834"/>
    </row>
    <row r="19" spans="1:13" ht="20.100000000000001" customHeight="1">
      <c r="A19" s="61" t="s">
        <v>359</v>
      </c>
      <c r="B19" s="116">
        <f>SUM(B7:M15)-SUM('[1]9歷年退離(軍)'!$B$8:$M$16)</f>
        <v>0</v>
      </c>
      <c r="C19" s="13"/>
      <c r="D19" s="13"/>
      <c r="E19" s="13"/>
      <c r="F19" s="13"/>
      <c r="G19" s="13"/>
      <c r="H19" s="13"/>
      <c r="I19" s="13"/>
      <c r="J19" s="13"/>
      <c r="K19" s="13"/>
      <c r="L19" s="13"/>
      <c r="M19" s="13"/>
    </row>
  </sheetData>
  <mergeCells count="16">
    <mergeCell ref="A18:M18"/>
    <mergeCell ref="A1:G1"/>
    <mergeCell ref="H1:M1"/>
    <mergeCell ref="A2:G2"/>
    <mergeCell ref="H2:L2"/>
    <mergeCell ref="A3:A5"/>
    <mergeCell ref="B3:B5"/>
    <mergeCell ref="C3:E3"/>
    <mergeCell ref="F3:L3"/>
    <mergeCell ref="M3:M5"/>
    <mergeCell ref="H4:I4"/>
    <mergeCell ref="J4:L4"/>
    <mergeCell ref="C4:C5"/>
    <mergeCell ref="D4:D5"/>
    <mergeCell ref="E4:E5"/>
    <mergeCell ref="F4:F5"/>
  </mergeCells>
  <phoneticPr fontId="3" type="noConversion"/>
  <pageMargins left="0.62992125984251968" right="0" top="0.59055118110236227" bottom="0.57999999999999996" header="0" footer="0"/>
  <pageSetup paperSize="9" scale="95" orientation="portrait" r:id="rId1"/>
  <headerFooter alignWithMargins="0"/>
  <colBreaks count="1" manualBreakCount="1">
    <brk id="7" max="1048575" man="1"/>
  </colBreaks>
</worksheet>
</file>

<file path=xl/worksheets/sheet12.xml><?xml version="1.0" encoding="utf-8"?>
<worksheet xmlns="http://schemas.openxmlformats.org/spreadsheetml/2006/main" xmlns:r="http://schemas.openxmlformats.org/officeDocument/2006/relationships">
  <sheetPr>
    <tabColor rgb="FFFF0000"/>
  </sheetPr>
  <dimension ref="A1:AB70"/>
  <sheetViews>
    <sheetView view="pageBreakPreview" zoomScale="80" zoomScaleNormal="75" zoomScaleSheetLayoutView="80" workbookViewId="0">
      <pane xSplit="3" ySplit="5" topLeftCell="D15" activePane="bottomRight" state="frozen"/>
      <selection activeCell="E20" sqref="E20"/>
      <selection pane="topRight" activeCell="E20" sqref="E20"/>
      <selection pane="bottomLeft" activeCell="E20" sqref="E20"/>
      <selection pane="bottomRight" activeCell="E20" sqref="E20"/>
    </sheetView>
  </sheetViews>
  <sheetFormatPr defaultColWidth="6.5" defaultRowHeight="74.25" customHeight="1"/>
  <cols>
    <col min="1" max="1" width="9.875" style="14" customWidth="1"/>
    <col min="2" max="3" width="12.5" style="1" customWidth="1"/>
    <col min="4" max="6" width="14" style="1" customWidth="1"/>
    <col min="7" max="7" width="12.125" style="1" customWidth="1"/>
    <col min="8" max="8" width="8.375" style="1" customWidth="1"/>
    <col min="9" max="9" width="13.25" style="1" bestFit="1" customWidth="1"/>
    <col min="10" max="10" width="16.625" style="1" customWidth="1"/>
    <col min="11" max="11" width="8.375" style="1" customWidth="1"/>
    <col min="12" max="12" width="13.25" style="1" bestFit="1" customWidth="1"/>
    <col min="13" max="13" width="16.625" style="1" customWidth="1"/>
    <col min="14" max="14" width="13" style="1" customWidth="1"/>
    <col min="15" max="15" width="7.375" style="1" bestFit="1" customWidth="1"/>
    <col min="16" max="16384" width="6.5" style="1"/>
  </cols>
  <sheetData>
    <row r="1" spans="1:28" ht="33" customHeight="1">
      <c r="A1" s="787" t="s">
        <v>205</v>
      </c>
      <c r="B1" s="787"/>
      <c r="C1" s="787"/>
      <c r="D1" s="787"/>
      <c r="E1" s="787"/>
      <c r="F1" s="787"/>
      <c r="G1" s="787"/>
      <c r="H1" s="813" t="s">
        <v>206</v>
      </c>
      <c r="I1" s="813"/>
      <c r="J1" s="813"/>
      <c r="K1" s="813"/>
      <c r="L1" s="813"/>
      <c r="M1" s="813"/>
      <c r="N1" s="813"/>
    </row>
    <row r="2" spans="1:28" s="2" customFormat="1" ht="33" customHeight="1">
      <c r="A2" s="788" t="s">
        <v>64</v>
      </c>
      <c r="B2" s="788"/>
      <c r="C2" s="788"/>
      <c r="D2" s="788"/>
      <c r="E2" s="788"/>
      <c r="F2" s="788"/>
      <c r="G2" s="788"/>
      <c r="H2" s="830" t="s">
        <v>398</v>
      </c>
      <c r="I2" s="830"/>
      <c r="J2" s="830"/>
      <c r="K2" s="830"/>
      <c r="L2" s="830"/>
      <c r="M2" s="830"/>
      <c r="N2" s="115" t="s">
        <v>9</v>
      </c>
    </row>
    <row r="3" spans="1:28" s="2" customFormat="1" ht="29.25" customHeight="1">
      <c r="A3" s="793" t="s">
        <v>48</v>
      </c>
      <c r="B3" s="811" t="s">
        <v>49</v>
      </c>
      <c r="C3" s="796" t="s">
        <v>82</v>
      </c>
      <c r="D3" s="825"/>
      <c r="E3" s="825"/>
      <c r="F3" s="811"/>
      <c r="G3" s="822" t="s">
        <v>67</v>
      </c>
      <c r="H3" s="828"/>
      <c r="I3" s="828"/>
      <c r="J3" s="828"/>
      <c r="K3" s="828"/>
      <c r="L3" s="828"/>
      <c r="M3" s="829"/>
      <c r="N3" s="796" t="s">
        <v>77</v>
      </c>
      <c r="O3" s="3"/>
    </row>
    <row r="4" spans="1:28" s="2" customFormat="1" ht="29.25" customHeight="1">
      <c r="A4" s="793"/>
      <c r="B4" s="811"/>
      <c r="C4" s="819" t="s">
        <v>58</v>
      </c>
      <c r="D4" s="817" t="s">
        <v>69</v>
      </c>
      <c r="E4" s="819" t="s">
        <v>70</v>
      </c>
      <c r="F4" s="836" t="s">
        <v>95</v>
      </c>
      <c r="G4" s="822" t="s">
        <v>58</v>
      </c>
      <c r="H4" s="824" t="s">
        <v>197</v>
      </c>
      <c r="I4" s="824"/>
      <c r="J4" s="793"/>
      <c r="K4" s="812" t="s">
        <v>198</v>
      </c>
      <c r="L4" s="824"/>
      <c r="M4" s="793"/>
      <c r="N4" s="796"/>
      <c r="O4" s="3"/>
    </row>
    <row r="5" spans="1:28" s="2" customFormat="1" ht="39.200000000000003" customHeight="1">
      <c r="A5" s="793"/>
      <c r="B5" s="811"/>
      <c r="C5" s="820"/>
      <c r="D5" s="832"/>
      <c r="E5" s="820"/>
      <c r="F5" s="837"/>
      <c r="G5" s="823"/>
      <c r="H5" s="109" t="s">
        <v>258</v>
      </c>
      <c r="I5" s="101" t="s">
        <v>83</v>
      </c>
      <c r="J5" s="99" t="s">
        <v>346</v>
      </c>
      <c r="K5" s="101" t="s">
        <v>258</v>
      </c>
      <c r="L5" s="101" t="s">
        <v>10</v>
      </c>
      <c r="M5" s="99" t="s">
        <v>346</v>
      </c>
      <c r="N5" s="796"/>
      <c r="O5" s="3"/>
      <c r="P5" s="2" t="s">
        <v>1023</v>
      </c>
    </row>
    <row r="6" spans="1:28" s="2" customFormat="1" ht="37.700000000000003" customHeight="1">
      <c r="A6" s="43" t="s">
        <v>61</v>
      </c>
      <c r="B6" s="5">
        <f>C6+G6+N6</f>
        <v>0</v>
      </c>
      <c r="C6" s="5">
        <f>SUM(D6:F6)</f>
        <v>0</v>
      </c>
      <c r="D6" s="5">
        <f t="shared" ref="D6:F8" si="0">D9+D12+D15+D18</f>
        <v>0</v>
      </c>
      <c r="E6" s="5">
        <f t="shared" si="0"/>
        <v>0</v>
      </c>
      <c r="F6" s="5">
        <f t="shared" si="0"/>
        <v>0</v>
      </c>
      <c r="G6" s="5">
        <f>H6+K6</f>
        <v>0</v>
      </c>
      <c r="H6" s="5">
        <f>SUM(I6:J6)</f>
        <v>0</v>
      </c>
      <c r="I6" s="5">
        <f t="shared" ref="I6:N6" si="1">I9+I12+I15+I18</f>
        <v>0</v>
      </c>
      <c r="J6" s="5">
        <f t="shared" si="1"/>
        <v>0</v>
      </c>
      <c r="K6" s="5">
        <f>SUM(L6:M6)</f>
        <v>0</v>
      </c>
      <c r="L6" s="5">
        <f t="shared" si="1"/>
        <v>0</v>
      </c>
      <c r="M6" s="5">
        <f t="shared" si="1"/>
        <v>0</v>
      </c>
      <c r="N6" s="5">
        <f t="shared" si="1"/>
        <v>0</v>
      </c>
      <c r="O6" s="119">
        <f>B6-'6歷年退離(政)-OK'!B17</f>
        <v>0</v>
      </c>
      <c r="P6" s="159">
        <f>SUM(B7:B8)-B6</f>
        <v>0</v>
      </c>
      <c r="Q6" s="159">
        <f t="shared" ref="Q6:AB6" si="2">SUM(C7:C8)-C6</f>
        <v>0</v>
      </c>
      <c r="R6" s="159">
        <f t="shared" si="2"/>
        <v>0</v>
      </c>
      <c r="S6" s="159">
        <f t="shared" si="2"/>
        <v>0</v>
      </c>
      <c r="T6" s="159">
        <f t="shared" si="2"/>
        <v>0</v>
      </c>
      <c r="U6" s="159">
        <f t="shared" si="2"/>
        <v>0</v>
      </c>
      <c r="V6" s="159">
        <f t="shared" si="2"/>
        <v>0</v>
      </c>
      <c r="W6" s="159">
        <f t="shared" si="2"/>
        <v>0</v>
      </c>
      <c r="X6" s="159">
        <f t="shared" si="2"/>
        <v>0</v>
      </c>
      <c r="Y6" s="159">
        <f t="shared" si="2"/>
        <v>0</v>
      </c>
      <c r="Z6" s="159">
        <f t="shared" si="2"/>
        <v>0</v>
      </c>
      <c r="AA6" s="159">
        <f t="shared" si="2"/>
        <v>0</v>
      </c>
      <c r="AB6" s="159">
        <f t="shared" si="2"/>
        <v>0</v>
      </c>
    </row>
    <row r="7" spans="1:28" s="150" customFormat="1" ht="37.700000000000003" customHeight="1">
      <c r="A7" s="148" t="s">
        <v>399</v>
      </c>
      <c r="B7" s="5">
        <f t="shared" ref="B7:B20" si="3">C7+G7+N7</f>
        <v>0</v>
      </c>
      <c r="C7" s="5">
        <f t="shared" ref="C7:C20" si="4">SUM(D7:F7)</f>
        <v>0</v>
      </c>
      <c r="D7" s="5">
        <f t="shared" si="0"/>
        <v>0</v>
      </c>
      <c r="E7" s="5">
        <f t="shared" si="0"/>
        <v>0</v>
      </c>
      <c r="F7" s="5">
        <f t="shared" si="0"/>
        <v>0</v>
      </c>
      <c r="G7" s="5">
        <f t="shared" ref="G7:G18" si="5">H7+K7</f>
        <v>0</v>
      </c>
      <c r="H7" s="5">
        <f t="shared" ref="H7:H18" si="6">SUM(I7:J7)</f>
        <v>0</v>
      </c>
      <c r="I7" s="5">
        <f>I10+I13+I16+I19</f>
        <v>0</v>
      </c>
      <c r="J7" s="5">
        <f>J10+J13+J16+J19</f>
        <v>0</v>
      </c>
      <c r="K7" s="5">
        <f t="shared" ref="K7:K18" si="7">SUM(L7:M7)</f>
        <v>0</v>
      </c>
      <c r="L7" s="5">
        <f t="shared" ref="L7:N8" si="8">L10+L13+L16+L19</f>
        <v>0</v>
      </c>
      <c r="M7" s="5">
        <f t="shared" si="8"/>
        <v>0</v>
      </c>
      <c r="N7" s="5">
        <f t="shared" si="8"/>
        <v>0</v>
      </c>
      <c r="O7" s="149"/>
      <c r="P7" s="702"/>
    </row>
    <row r="8" spans="1:28" s="150" customFormat="1" ht="37.700000000000003" customHeight="1">
      <c r="A8" s="148" t="s">
        <v>401</v>
      </c>
      <c r="B8" s="5">
        <f t="shared" si="3"/>
        <v>0</v>
      </c>
      <c r="C8" s="5">
        <f t="shared" si="4"/>
        <v>0</v>
      </c>
      <c r="D8" s="5">
        <f t="shared" si="0"/>
        <v>0</v>
      </c>
      <c r="E8" s="5">
        <f t="shared" si="0"/>
        <v>0</v>
      </c>
      <c r="F8" s="5">
        <f t="shared" si="0"/>
        <v>0</v>
      </c>
      <c r="G8" s="5">
        <f t="shared" si="5"/>
        <v>0</v>
      </c>
      <c r="H8" s="5">
        <f t="shared" si="6"/>
        <v>0</v>
      </c>
      <c r="I8" s="5">
        <f>I11+I14+I17+I20</f>
        <v>0</v>
      </c>
      <c r="J8" s="5">
        <f>J11+J14+J17+J20</f>
        <v>0</v>
      </c>
      <c r="K8" s="5">
        <f t="shared" si="7"/>
        <v>0</v>
      </c>
      <c r="L8" s="5">
        <f t="shared" si="8"/>
        <v>0</v>
      </c>
      <c r="M8" s="5">
        <f t="shared" si="8"/>
        <v>0</v>
      </c>
      <c r="N8" s="5">
        <f t="shared" si="8"/>
        <v>0</v>
      </c>
      <c r="O8" s="149"/>
    </row>
    <row r="9" spans="1:28" s="6" customFormat="1" ht="37.700000000000003" customHeight="1">
      <c r="A9" s="43" t="s">
        <v>372</v>
      </c>
      <c r="B9" s="5">
        <f t="shared" si="3"/>
        <v>0</v>
      </c>
      <c r="C9" s="5">
        <f t="shared" si="4"/>
        <v>0</v>
      </c>
      <c r="D9" s="5">
        <f>SUM(D10:D11)</f>
        <v>0</v>
      </c>
      <c r="E9" s="5">
        <f>SUM(E10:E11)</f>
        <v>0</v>
      </c>
      <c r="F9" s="5">
        <f>SUM(F10:F11)</f>
        <v>0</v>
      </c>
      <c r="G9" s="5">
        <f t="shared" si="5"/>
        <v>0</v>
      </c>
      <c r="H9" s="5">
        <f t="shared" si="6"/>
        <v>0</v>
      </c>
      <c r="I9" s="5">
        <f>SUM(I10:I11)</f>
        <v>0</v>
      </c>
      <c r="J9" s="5">
        <f>SUM(J10:J11)</f>
        <v>0</v>
      </c>
      <c r="K9" s="5">
        <f t="shared" si="7"/>
        <v>0</v>
      </c>
      <c r="L9" s="5">
        <f>SUM(L10:L11)</f>
        <v>0</v>
      </c>
      <c r="M9" s="5">
        <f>SUM(M10:M11)</f>
        <v>0</v>
      </c>
      <c r="N9" s="5">
        <f>SUM(N10:N11)</f>
        <v>0</v>
      </c>
      <c r="P9" s="37">
        <f>SUM(B10:B11)-B9</f>
        <v>0</v>
      </c>
      <c r="Q9" s="37">
        <f t="shared" ref="Q9:AB9" si="9">SUM(C10:C11)-C9</f>
        <v>0</v>
      </c>
      <c r="R9" s="37">
        <f t="shared" si="9"/>
        <v>0</v>
      </c>
      <c r="S9" s="37">
        <f t="shared" si="9"/>
        <v>0</v>
      </c>
      <c r="T9" s="37">
        <f t="shared" si="9"/>
        <v>0</v>
      </c>
      <c r="U9" s="37">
        <f t="shared" si="9"/>
        <v>0</v>
      </c>
      <c r="V9" s="37">
        <f t="shared" si="9"/>
        <v>0</v>
      </c>
      <c r="W9" s="37">
        <f t="shared" si="9"/>
        <v>0</v>
      </c>
      <c r="X9" s="37">
        <f t="shared" si="9"/>
        <v>0</v>
      </c>
      <c r="Y9" s="37">
        <f t="shared" si="9"/>
        <v>0</v>
      </c>
      <c r="Z9" s="37">
        <f t="shared" si="9"/>
        <v>0</v>
      </c>
      <c r="AA9" s="37">
        <f t="shared" si="9"/>
        <v>0</v>
      </c>
      <c r="AB9" s="37">
        <f t="shared" si="9"/>
        <v>0</v>
      </c>
    </row>
    <row r="10" spans="1:28" s="150" customFormat="1" ht="37.700000000000003" customHeight="1">
      <c r="A10" s="148" t="s">
        <v>399</v>
      </c>
      <c r="B10" s="5">
        <f t="shared" si="3"/>
        <v>0</v>
      </c>
      <c r="C10" s="5">
        <f t="shared" si="4"/>
        <v>0</v>
      </c>
      <c r="D10" s="5">
        <v>0</v>
      </c>
      <c r="E10" s="5">
        <v>0</v>
      </c>
      <c r="F10" s="5">
        <v>0</v>
      </c>
      <c r="G10" s="5">
        <f t="shared" si="5"/>
        <v>0</v>
      </c>
      <c r="H10" s="5">
        <f t="shared" si="6"/>
        <v>0</v>
      </c>
      <c r="I10" s="5">
        <v>0</v>
      </c>
      <c r="J10" s="5">
        <v>0</v>
      </c>
      <c r="K10" s="5">
        <f t="shared" si="7"/>
        <v>0</v>
      </c>
      <c r="L10" s="5">
        <v>0</v>
      </c>
      <c r="M10" s="5">
        <v>0</v>
      </c>
      <c r="N10" s="5">
        <v>0</v>
      </c>
      <c r="O10" s="149"/>
    </row>
    <row r="11" spans="1:28" s="150" customFormat="1" ht="37.700000000000003" customHeight="1">
      <c r="A11" s="148" t="s">
        <v>402</v>
      </c>
      <c r="B11" s="5">
        <f t="shared" si="3"/>
        <v>0</v>
      </c>
      <c r="C11" s="5">
        <f t="shared" si="4"/>
        <v>0</v>
      </c>
      <c r="D11" s="5">
        <v>0</v>
      </c>
      <c r="E11" s="5">
        <v>0</v>
      </c>
      <c r="F11" s="5">
        <v>0</v>
      </c>
      <c r="G11" s="5">
        <f t="shared" si="5"/>
        <v>0</v>
      </c>
      <c r="H11" s="5">
        <f t="shared" si="6"/>
        <v>0</v>
      </c>
      <c r="I11" s="5">
        <v>0</v>
      </c>
      <c r="J11" s="5">
        <v>0</v>
      </c>
      <c r="K11" s="5">
        <f t="shared" si="7"/>
        <v>0</v>
      </c>
      <c r="L11" s="5">
        <v>0</v>
      </c>
      <c r="M11" s="5">
        <v>0</v>
      </c>
      <c r="N11" s="5">
        <v>0</v>
      </c>
      <c r="O11" s="149"/>
    </row>
    <row r="12" spans="1:28" s="6" customFormat="1" ht="37.700000000000003" customHeight="1">
      <c r="A12" s="152" t="s">
        <v>72</v>
      </c>
      <c r="B12" s="5">
        <f t="shared" si="3"/>
        <v>0</v>
      </c>
      <c r="C12" s="5">
        <f t="shared" si="4"/>
        <v>0</v>
      </c>
      <c r="D12" s="5">
        <f>SUM(D13:D14)</f>
        <v>0</v>
      </c>
      <c r="E12" s="5">
        <f>SUM(E13:E14)</f>
        <v>0</v>
      </c>
      <c r="F12" s="5">
        <f>SUM(F13:F14)</f>
        <v>0</v>
      </c>
      <c r="G12" s="5">
        <f t="shared" si="5"/>
        <v>0</v>
      </c>
      <c r="H12" s="5">
        <f t="shared" si="6"/>
        <v>0</v>
      </c>
      <c r="I12" s="5">
        <f>SUM(I13:I14)</f>
        <v>0</v>
      </c>
      <c r="J12" s="5">
        <f>SUM(J13:J14)</f>
        <v>0</v>
      </c>
      <c r="K12" s="5">
        <f t="shared" si="7"/>
        <v>0</v>
      </c>
      <c r="L12" s="5">
        <f>SUM(L13:L14)</f>
        <v>0</v>
      </c>
      <c r="M12" s="5">
        <f>SUM(M13:M14)</f>
        <v>0</v>
      </c>
      <c r="N12" s="5">
        <f>SUM(N13:N14)</f>
        <v>0</v>
      </c>
      <c r="P12" s="37">
        <f>SUM(B13:B14)-B12</f>
        <v>0</v>
      </c>
      <c r="Q12" s="37">
        <f t="shared" ref="Q12:AB12" si="10">SUM(C13:C14)-C12</f>
        <v>0</v>
      </c>
      <c r="R12" s="37">
        <f t="shared" si="10"/>
        <v>0</v>
      </c>
      <c r="S12" s="37">
        <f t="shared" si="10"/>
        <v>0</v>
      </c>
      <c r="T12" s="37">
        <f t="shared" si="10"/>
        <v>0</v>
      </c>
      <c r="U12" s="37">
        <f t="shared" si="10"/>
        <v>0</v>
      </c>
      <c r="V12" s="37">
        <f t="shared" si="10"/>
        <v>0</v>
      </c>
      <c r="W12" s="37">
        <f t="shared" si="10"/>
        <v>0</v>
      </c>
      <c r="X12" s="37">
        <f t="shared" si="10"/>
        <v>0</v>
      </c>
      <c r="Y12" s="37">
        <f t="shared" si="10"/>
        <v>0</v>
      </c>
      <c r="Z12" s="37">
        <f t="shared" si="10"/>
        <v>0</v>
      </c>
      <c r="AA12" s="37">
        <f t="shared" si="10"/>
        <v>0</v>
      </c>
      <c r="AB12" s="37">
        <f t="shared" si="10"/>
        <v>0</v>
      </c>
    </row>
    <row r="13" spans="1:28" s="150" customFormat="1" ht="37.700000000000003" customHeight="1">
      <c r="A13" s="148" t="s">
        <v>400</v>
      </c>
      <c r="B13" s="5">
        <f t="shared" si="3"/>
        <v>0</v>
      </c>
      <c r="C13" s="5">
        <f t="shared" si="4"/>
        <v>0</v>
      </c>
      <c r="D13" s="5">
        <v>0</v>
      </c>
      <c r="E13" s="5">
        <v>0</v>
      </c>
      <c r="F13" s="5">
        <v>0</v>
      </c>
      <c r="G13" s="5">
        <f>H13+K13</f>
        <v>0</v>
      </c>
      <c r="H13" s="5">
        <f>SUM(I13:J13)</f>
        <v>0</v>
      </c>
      <c r="I13" s="5">
        <v>0</v>
      </c>
      <c r="J13" s="5">
        <v>0</v>
      </c>
      <c r="K13" s="5">
        <f>SUM(L13:M13)</f>
        <v>0</v>
      </c>
      <c r="L13" s="5">
        <v>0</v>
      </c>
      <c r="M13" s="5">
        <v>0</v>
      </c>
      <c r="N13" s="5">
        <v>0</v>
      </c>
      <c r="O13" s="149"/>
    </row>
    <row r="14" spans="1:28" s="150" customFormat="1" ht="37.700000000000003" customHeight="1">
      <c r="A14" s="148" t="s">
        <v>402</v>
      </c>
      <c r="B14" s="5">
        <f t="shared" si="3"/>
        <v>0</v>
      </c>
      <c r="C14" s="5">
        <f t="shared" si="4"/>
        <v>0</v>
      </c>
      <c r="D14" s="5">
        <v>0</v>
      </c>
      <c r="E14" s="5">
        <v>0</v>
      </c>
      <c r="F14" s="5">
        <v>0</v>
      </c>
      <c r="G14" s="5">
        <f>H14+K14</f>
        <v>0</v>
      </c>
      <c r="H14" s="5">
        <f>SUM(I14:J14)</f>
        <v>0</v>
      </c>
      <c r="I14" s="5">
        <v>0</v>
      </c>
      <c r="J14" s="5">
        <v>0</v>
      </c>
      <c r="K14" s="5">
        <f>SUM(L14:M14)</f>
        <v>0</v>
      </c>
      <c r="L14" s="5">
        <v>0</v>
      </c>
      <c r="M14" s="5">
        <v>0</v>
      </c>
      <c r="N14" s="5">
        <v>0</v>
      </c>
      <c r="O14" s="149"/>
    </row>
    <row r="15" spans="1:28" s="6" customFormat="1" ht="37.700000000000003" customHeight="1">
      <c r="A15" s="43" t="s">
        <v>51</v>
      </c>
      <c r="B15" s="5">
        <f t="shared" si="3"/>
        <v>0</v>
      </c>
      <c r="C15" s="5">
        <f t="shared" si="4"/>
        <v>0</v>
      </c>
      <c r="D15" s="5">
        <f>SUM(D16:D17)</f>
        <v>0</v>
      </c>
      <c r="E15" s="5">
        <f>SUM(E16:E17)</f>
        <v>0</v>
      </c>
      <c r="F15" s="5">
        <f>SUM(F16:F17)</f>
        <v>0</v>
      </c>
      <c r="G15" s="5">
        <f t="shared" si="5"/>
        <v>0</v>
      </c>
      <c r="H15" s="5">
        <f t="shared" si="6"/>
        <v>0</v>
      </c>
      <c r="I15" s="5">
        <f>SUM(I16:I17)</f>
        <v>0</v>
      </c>
      <c r="J15" s="5">
        <f>SUM(J16:J17)</f>
        <v>0</v>
      </c>
      <c r="K15" s="5">
        <f t="shared" si="7"/>
        <v>0</v>
      </c>
      <c r="L15" s="5">
        <f>SUM(L16:L17)</f>
        <v>0</v>
      </c>
      <c r="M15" s="5">
        <f>SUM(M16:M17)</f>
        <v>0</v>
      </c>
      <c r="N15" s="5">
        <f>SUM(N16:N17)</f>
        <v>0</v>
      </c>
      <c r="P15" s="37">
        <f>SUM(B16:B17)-B15</f>
        <v>0</v>
      </c>
      <c r="Q15" s="37">
        <f t="shared" ref="Q15:AB15" si="11">SUM(C16:C17)-C15</f>
        <v>0</v>
      </c>
      <c r="R15" s="37">
        <f t="shared" si="11"/>
        <v>0</v>
      </c>
      <c r="S15" s="37">
        <f t="shared" si="11"/>
        <v>0</v>
      </c>
      <c r="T15" s="37">
        <f t="shared" si="11"/>
        <v>0</v>
      </c>
      <c r="U15" s="37">
        <f t="shared" si="11"/>
        <v>0</v>
      </c>
      <c r="V15" s="37">
        <f t="shared" si="11"/>
        <v>0</v>
      </c>
      <c r="W15" s="37">
        <f t="shared" si="11"/>
        <v>0</v>
      </c>
      <c r="X15" s="37">
        <f t="shared" si="11"/>
        <v>0</v>
      </c>
      <c r="Y15" s="37">
        <f t="shared" si="11"/>
        <v>0</v>
      </c>
      <c r="Z15" s="37">
        <f t="shared" si="11"/>
        <v>0</v>
      </c>
      <c r="AA15" s="37">
        <f t="shared" si="11"/>
        <v>0</v>
      </c>
      <c r="AB15" s="37">
        <f t="shared" si="11"/>
        <v>0</v>
      </c>
    </row>
    <row r="16" spans="1:28" s="150" customFormat="1" ht="37.700000000000003" customHeight="1">
      <c r="A16" s="148" t="s">
        <v>399</v>
      </c>
      <c r="B16" s="5">
        <f t="shared" si="3"/>
        <v>0</v>
      </c>
      <c r="C16" s="5">
        <f t="shared" si="4"/>
        <v>0</v>
      </c>
      <c r="D16" s="5">
        <v>0</v>
      </c>
      <c r="E16" s="5">
        <v>0</v>
      </c>
      <c r="F16" s="5">
        <v>0</v>
      </c>
      <c r="G16" s="5">
        <f>H16+K16</f>
        <v>0</v>
      </c>
      <c r="H16" s="5">
        <f>SUM(I16:J16)</f>
        <v>0</v>
      </c>
      <c r="I16" s="5">
        <v>0</v>
      </c>
      <c r="J16" s="5">
        <v>0</v>
      </c>
      <c r="K16" s="5">
        <f>SUM(L16:M16)</f>
        <v>0</v>
      </c>
      <c r="L16" s="5">
        <v>0</v>
      </c>
      <c r="M16" s="5">
        <v>0</v>
      </c>
      <c r="N16" s="5">
        <v>0</v>
      </c>
      <c r="O16" s="149"/>
    </row>
    <row r="17" spans="1:28" s="150" customFormat="1" ht="37.700000000000003" customHeight="1">
      <c r="A17" s="148" t="s">
        <v>402</v>
      </c>
      <c r="B17" s="5">
        <f t="shared" si="3"/>
        <v>0</v>
      </c>
      <c r="C17" s="5">
        <f t="shared" si="4"/>
        <v>0</v>
      </c>
      <c r="D17" s="5">
        <v>0</v>
      </c>
      <c r="E17" s="5">
        <v>0</v>
      </c>
      <c r="F17" s="5">
        <v>0</v>
      </c>
      <c r="G17" s="5">
        <f>H17+K17</f>
        <v>0</v>
      </c>
      <c r="H17" s="5">
        <f>SUM(I17:J17)</f>
        <v>0</v>
      </c>
      <c r="I17" s="5">
        <v>0</v>
      </c>
      <c r="J17" s="5">
        <v>0</v>
      </c>
      <c r="K17" s="5">
        <f>SUM(L17:M17)</f>
        <v>0</v>
      </c>
      <c r="L17" s="5">
        <v>0</v>
      </c>
      <c r="M17" s="5">
        <v>0</v>
      </c>
      <c r="N17" s="5">
        <v>0</v>
      </c>
      <c r="O17" s="149"/>
    </row>
    <row r="18" spans="1:28" s="8" customFormat="1" ht="37.700000000000003" customHeight="1">
      <c r="A18" s="152" t="s">
        <v>403</v>
      </c>
      <c r="B18" s="5">
        <f t="shared" si="3"/>
        <v>0</v>
      </c>
      <c r="C18" s="5">
        <f t="shared" si="4"/>
        <v>0</v>
      </c>
      <c r="D18" s="5">
        <f>SUM(D19:D20)</f>
        <v>0</v>
      </c>
      <c r="E18" s="5">
        <f>SUM(E19:E20)</f>
        <v>0</v>
      </c>
      <c r="F18" s="5">
        <f>SUM(F19:F20)</f>
        <v>0</v>
      </c>
      <c r="G18" s="5">
        <f t="shared" si="5"/>
        <v>0</v>
      </c>
      <c r="H18" s="5">
        <f t="shared" si="6"/>
        <v>0</v>
      </c>
      <c r="I18" s="5">
        <f>SUM(I19:I20)</f>
        <v>0</v>
      </c>
      <c r="J18" s="5">
        <f>SUM(J19:J20)</f>
        <v>0</v>
      </c>
      <c r="K18" s="5">
        <f t="shared" si="7"/>
        <v>0</v>
      </c>
      <c r="L18" s="5">
        <f>SUM(L19:L20)</f>
        <v>0</v>
      </c>
      <c r="M18" s="5">
        <f>SUM(M19:M20)</f>
        <v>0</v>
      </c>
      <c r="N18" s="5">
        <f>SUM(N19:N20)</f>
        <v>0</v>
      </c>
      <c r="P18" s="89">
        <f>SUM(B19:B20)-B18</f>
        <v>0</v>
      </c>
      <c r="Q18" s="89">
        <f t="shared" ref="Q18:AB18" si="12">SUM(C19:C20)-C18</f>
        <v>0</v>
      </c>
      <c r="R18" s="89">
        <f t="shared" si="12"/>
        <v>0</v>
      </c>
      <c r="S18" s="89">
        <f t="shared" si="12"/>
        <v>0</v>
      </c>
      <c r="T18" s="89">
        <f t="shared" si="12"/>
        <v>0</v>
      </c>
      <c r="U18" s="89">
        <f t="shared" si="12"/>
        <v>0</v>
      </c>
      <c r="V18" s="89">
        <f t="shared" si="12"/>
        <v>0</v>
      </c>
      <c r="W18" s="89">
        <f t="shared" si="12"/>
        <v>0</v>
      </c>
      <c r="X18" s="89">
        <f t="shared" si="12"/>
        <v>0</v>
      </c>
      <c r="Y18" s="89">
        <f t="shared" si="12"/>
        <v>0</v>
      </c>
      <c r="Z18" s="89">
        <f t="shared" si="12"/>
        <v>0</v>
      </c>
      <c r="AA18" s="89">
        <f t="shared" si="12"/>
        <v>0</v>
      </c>
      <c r="AB18" s="89">
        <f t="shared" si="12"/>
        <v>0</v>
      </c>
    </row>
    <row r="19" spans="1:28" s="150" customFormat="1" ht="37.700000000000003" customHeight="1">
      <c r="A19" s="148" t="s">
        <v>400</v>
      </c>
      <c r="B19" s="5">
        <f t="shared" si="3"/>
        <v>0</v>
      </c>
      <c r="C19" s="5">
        <f t="shared" si="4"/>
        <v>0</v>
      </c>
      <c r="D19" s="5">
        <v>0</v>
      </c>
      <c r="E19" s="5">
        <v>0</v>
      </c>
      <c r="F19" s="5">
        <v>0</v>
      </c>
      <c r="G19" s="5">
        <f>H19+K19</f>
        <v>0</v>
      </c>
      <c r="H19" s="5">
        <f>SUM(I19:J19)</f>
        <v>0</v>
      </c>
      <c r="I19" s="5">
        <v>0</v>
      </c>
      <c r="J19" s="5">
        <v>0</v>
      </c>
      <c r="K19" s="5">
        <f>SUM(L19:M19)</f>
        <v>0</v>
      </c>
      <c r="L19" s="5">
        <v>0</v>
      </c>
      <c r="M19" s="5">
        <v>0</v>
      </c>
      <c r="N19" s="5">
        <v>0</v>
      </c>
      <c r="O19" s="149"/>
    </row>
    <row r="20" spans="1:28" s="150" customFormat="1" ht="37.700000000000003" customHeight="1">
      <c r="A20" s="151" t="s">
        <v>402</v>
      </c>
      <c r="B20" s="5">
        <f t="shared" si="3"/>
        <v>0</v>
      </c>
      <c r="C20" s="5">
        <f t="shared" si="4"/>
        <v>0</v>
      </c>
      <c r="D20" s="5">
        <v>0</v>
      </c>
      <c r="E20" s="5">
        <v>0</v>
      </c>
      <c r="F20" s="5">
        <v>0</v>
      </c>
      <c r="G20" s="5">
        <f>H20+K20</f>
        <v>0</v>
      </c>
      <c r="H20" s="5">
        <f>SUM(I20:J20)</f>
        <v>0</v>
      </c>
      <c r="I20" s="5">
        <v>0</v>
      </c>
      <c r="J20" s="5">
        <v>0</v>
      </c>
      <c r="K20" s="5">
        <f>SUM(L20:M20)</f>
        <v>0</v>
      </c>
      <c r="L20" s="5">
        <v>0</v>
      </c>
      <c r="M20" s="5">
        <v>0</v>
      </c>
      <c r="N20" s="5">
        <v>0</v>
      </c>
      <c r="O20" s="149"/>
    </row>
    <row r="21" spans="1:28" s="29" customFormat="1" ht="29.25" customHeight="1">
      <c r="A21" s="815" t="s">
        <v>1030</v>
      </c>
      <c r="B21" s="816"/>
      <c r="C21" s="816"/>
      <c r="D21" s="816"/>
      <c r="E21" s="816"/>
      <c r="F21" s="816"/>
      <c r="G21" s="816"/>
      <c r="H21" s="816"/>
      <c r="I21" s="816"/>
      <c r="J21" s="816"/>
      <c r="K21" s="816"/>
      <c r="L21" s="816"/>
      <c r="M21" s="816"/>
      <c r="N21" s="816"/>
    </row>
    <row r="22" spans="1:28" ht="19.5" customHeight="1">
      <c r="A22" s="2" t="s">
        <v>1027</v>
      </c>
      <c r="H22" s="12"/>
    </row>
    <row r="23" spans="1:28" ht="20.100000000000001" customHeight="1">
      <c r="A23" s="175"/>
      <c r="B23" s="116">
        <f>B6-'[3]10當年退離(政)-性別'!B6</f>
        <v>0</v>
      </c>
      <c r="C23" s="116">
        <f>C6-'[3]10當年退離(政)-性別'!C6</f>
        <v>0</v>
      </c>
      <c r="D23" s="116">
        <f>D6-'[3]10當年退離(政)-性別'!D6</f>
        <v>0</v>
      </c>
      <c r="E23" s="116">
        <f>E6-'[3]10當年退離(政)-性別'!E6</f>
        <v>0</v>
      </c>
      <c r="F23" s="116">
        <f>F6-'[3]10當年退離(政)-性別'!F6</f>
        <v>0</v>
      </c>
      <c r="G23" s="116">
        <f>G6-'[3]10當年退離(政)-性別'!G6</f>
        <v>0</v>
      </c>
      <c r="H23" s="116">
        <f>H6-'[3]10當年退離(政)-性別'!H6</f>
        <v>0</v>
      </c>
      <c r="I23" s="116">
        <f>I6-'[3]10當年退離(政)-性別'!I6</f>
        <v>0</v>
      </c>
      <c r="J23" s="116">
        <f>J6-'[3]10當年退離(政)-性別'!J6</f>
        <v>0</v>
      </c>
      <c r="K23" s="116">
        <f>K6-'[3]10當年退離(政)-性別'!K6</f>
        <v>0</v>
      </c>
      <c r="L23" s="116">
        <f>L6-'[3]10當年退離(政)-性別'!L6</f>
        <v>0</v>
      </c>
      <c r="M23" s="116">
        <f>M6-'[3]10當年退離(政)-性別'!M6</f>
        <v>0</v>
      </c>
      <c r="N23" s="116">
        <f>N6-'[3]10當年退離(政)-性別'!N6</f>
        <v>0</v>
      </c>
    </row>
    <row r="24" spans="1:28" ht="74.25" customHeight="1">
      <c r="B24" s="116">
        <f>B7-'[3]10當年退離(政)-性別'!B7</f>
        <v>0</v>
      </c>
      <c r="C24" s="116">
        <f>C7-'[3]10當年退離(政)-性別'!C7</f>
        <v>0</v>
      </c>
      <c r="D24" s="116">
        <f>D7-'[3]10當年退離(政)-性別'!D7</f>
        <v>0</v>
      </c>
      <c r="E24" s="116">
        <f>E7-'[3]10當年退離(政)-性別'!E7</f>
        <v>0</v>
      </c>
      <c r="F24" s="116">
        <f>F7-'[3]10當年退離(政)-性別'!F7</f>
        <v>0</v>
      </c>
      <c r="G24" s="116">
        <f>G7-'[3]10當年退離(政)-性別'!G7</f>
        <v>0</v>
      </c>
      <c r="H24" s="116">
        <f>H7-'[3]10當年退離(政)-性別'!H7</f>
        <v>0</v>
      </c>
      <c r="I24" s="116">
        <f>I7-'[3]10當年退離(政)-性別'!I7</f>
        <v>0</v>
      </c>
      <c r="J24" s="116">
        <f>J7-'[3]10當年退離(政)-性別'!J7</f>
        <v>0</v>
      </c>
      <c r="K24" s="116">
        <f>K7-'[3]10當年退離(政)-性別'!K7</f>
        <v>0</v>
      </c>
      <c r="L24" s="116">
        <f>L7-'[3]10當年退離(政)-性別'!L7</f>
        <v>0</v>
      </c>
      <c r="M24" s="116">
        <f>M7-'[3]10當年退離(政)-性別'!M7</f>
        <v>0</v>
      </c>
      <c r="N24" s="116">
        <f>N7-'[3]10當年退離(政)-性別'!N7</f>
        <v>0</v>
      </c>
    </row>
    <row r="25" spans="1:28" ht="74.25" customHeight="1">
      <c r="B25" s="116">
        <f>B8-'[3]10當年退離(政)-性別'!B8</f>
        <v>0</v>
      </c>
      <c r="C25" s="116">
        <f>C8-'[3]10當年退離(政)-性別'!C8</f>
        <v>0</v>
      </c>
      <c r="D25" s="116">
        <f>D8-'[3]10當年退離(政)-性別'!D8</f>
        <v>0</v>
      </c>
      <c r="E25" s="116">
        <f>E8-'[3]10當年退離(政)-性別'!E8</f>
        <v>0</v>
      </c>
      <c r="F25" s="116">
        <f>F8-'[3]10當年退離(政)-性別'!F8</f>
        <v>0</v>
      </c>
      <c r="G25" s="116">
        <f>G8-'[3]10當年退離(政)-性別'!G8</f>
        <v>0</v>
      </c>
      <c r="H25" s="116">
        <f>H8-'[3]10當年退離(政)-性別'!H8</f>
        <v>0</v>
      </c>
      <c r="I25" s="116">
        <f>I8-'[3]10當年退離(政)-性別'!I8</f>
        <v>0</v>
      </c>
      <c r="J25" s="116">
        <f>J8-'[3]10當年退離(政)-性別'!J8</f>
        <v>0</v>
      </c>
      <c r="K25" s="116">
        <f>K8-'[3]10當年退離(政)-性別'!K8</f>
        <v>0</v>
      </c>
      <c r="L25" s="116">
        <f>L8-'[3]10當年退離(政)-性別'!L8</f>
        <v>0</v>
      </c>
      <c r="M25" s="116">
        <f>M8-'[3]10當年退離(政)-性別'!M8</f>
        <v>0</v>
      </c>
      <c r="N25" s="116">
        <f>N8-'[3]10當年退離(政)-性別'!N8</f>
        <v>0</v>
      </c>
    </row>
    <row r="26" spans="1:28" ht="74.25" customHeight="1">
      <c r="B26" s="116">
        <f>B9-'[3]10當年退離(政)-性別'!B9</f>
        <v>0</v>
      </c>
      <c r="C26" s="116">
        <f>C9-'[3]10當年退離(政)-性別'!C9</f>
        <v>0</v>
      </c>
      <c r="D26" s="116">
        <f>D9-'[3]10當年退離(政)-性別'!D9</f>
        <v>0</v>
      </c>
      <c r="E26" s="116">
        <f>E9-'[3]10當年退離(政)-性別'!E9</f>
        <v>0</v>
      </c>
      <c r="F26" s="116">
        <f>F9-'[3]10當年退離(政)-性別'!F9</f>
        <v>0</v>
      </c>
      <c r="G26" s="116">
        <f>G9-'[3]10當年退離(政)-性別'!G9</f>
        <v>0</v>
      </c>
      <c r="H26" s="116">
        <f>H9-'[3]10當年退離(政)-性別'!H9</f>
        <v>0</v>
      </c>
      <c r="I26" s="116">
        <f>I9-'[3]10當年退離(政)-性別'!I9</f>
        <v>0</v>
      </c>
      <c r="J26" s="116">
        <f>J9-'[3]10當年退離(政)-性別'!J9</f>
        <v>0</v>
      </c>
      <c r="K26" s="116">
        <f>K9-'[3]10當年退離(政)-性別'!K9</f>
        <v>0</v>
      </c>
      <c r="L26" s="116">
        <f>L9-'[3]10當年退離(政)-性別'!L9</f>
        <v>0</v>
      </c>
      <c r="M26" s="116">
        <f>M9-'[3]10當年退離(政)-性別'!M9</f>
        <v>0</v>
      </c>
      <c r="N26" s="116">
        <f>N9-'[3]10當年退離(政)-性別'!N9</f>
        <v>0</v>
      </c>
    </row>
    <row r="27" spans="1:28" ht="74.25" customHeight="1">
      <c r="B27" s="116">
        <f>B10-'[3]10當年退離(政)-性別'!B10</f>
        <v>0</v>
      </c>
      <c r="C27" s="116">
        <f>C10-'[3]10當年退離(政)-性別'!C10</f>
        <v>0</v>
      </c>
      <c r="D27" s="116">
        <f>D10-'[3]10當年退離(政)-性別'!D10</f>
        <v>0</v>
      </c>
      <c r="E27" s="116">
        <f>E10-'[3]10當年退離(政)-性別'!E10</f>
        <v>0</v>
      </c>
      <c r="F27" s="116">
        <f>F10-'[3]10當年退離(政)-性別'!F10</f>
        <v>0</v>
      </c>
      <c r="G27" s="116">
        <f>G10-'[3]10當年退離(政)-性別'!G10</f>
        <v>0</v>
      </c>
      <c r="H27" s="116">
        <f>H10-'[3]10當年退離(政)-性別'!H10</f>
        <v>0</v>
      </c>
      <c r="I27" s="116">
        <f>I10-'[3]10當年退離(政)-性別'!I10</f>
        <v>0</v>
      </c>
      <c r="J27" s="116">
        <f>J10-'[3]10當年退離(政)-性別'!J10</f>
        <v>0</v>
      </c>
      <c r="K27" s="116">
        <f>K10-'[3]10當年退離(政)-性別'!K10</f>
        <v>0</v>
      </c>
      <c r="L27" s="116">
        <f>L10-'[3]10當年退離(政)-性別'!L10</f>
        <v>0</v>
      </c>
      <c r="M27" s="116">
        <f>M10-'[3]10當年退離(政)-性別'!M10</f>
        <v>0</v>
      </c>
      <c r="N27" s="116">
        <f>N10-'[3]10當年退離(政)-性別'!N10</f>
        <v>0</v>
      </c>
    </row>
    <row r="28" spans="1:28" ht="74.25" customHeight="1">
      <c r="B28" s="116">
        <f>B11-'[3]10當年退離(政)-性別'!B11</f>
        <v>0</v>
      </c>
      <c r="C28" s="116">
        <f>C11-'[3]10當年退離(政)-性別'!C11</f>
        <v>0</v>
      </c>
      <c r="D28" s="116">
        <f>D11-'[3]10當年退離(政)-性別'!D11</f>
        <v>0</v>
      </c>
      <c r="E28" s="116">
        <f>E11-'[3]10當年退離(政)-性別'!E11</f>
        <v>0</v>
      </c>
      <c r="F28" s="116">
        <f>F11-'[3]10當年退離(政)-性別'!F11</f>
        <v>0</v>
      </c>
      <c r="G28" s="116">
        <f>G11-'[3]10當年退離(政)-性別'!G11</f>
        <v>0</v>
      </c>
      <c r="H28" s="116">
        <f>H11-'[3]10當年退離(政)-性別'!H11</f>
        <v>0</v>
      </c>
      <c r="I28" s="116">
        <f>I11-'[3]10當年退離(政)-性別'!I11</f>
        <v>0</v>
      </c>
      <c r="J28" s="116">
        <f>J11-'[3]10當年退離(政)-性別'!J11</f>
        <v>0</v>
      </c>
      <c r="K28" s="116">
        <f>K11-'[3]10當年退離(政)-性別'!K11</f>
        <v>0</v>
      </c>
      <c r="L28" s="116">
        <f>L11-'[3]10當年退離(政)-性別'!L11</f>
        <v>0</v>
      </c>
      <c r="M28" s="116">
        <f>M11-'[3]10當年退離(政)-性別'!M11</f>
        <v>0</v>
      </c>
      <c r="N28" s="116">
        <f>N11-'[3]10當年退離(政)-性別'!N11</f>
        <v>0</v>
      </c>
    </row>
    <row r="29" spans="1:28" ht="74.25" customHeight="1">
      <c r="B29" s="116">
        <f>B12-'[3]10當年退離(政)-性別'!B12</f>
        <v>0</v>
      </c>
      <c r="C29" s="116">
        <f>C12-'[3]10當年退離(政)-性別'!C12</f>
        <v>0</v>
      </c>
      <c r="D29" s="116">
        <f>D12-'[3]10當年退離(政)-性別'!D12</f>
        <v>0</v>
      </c>
      <c r="E29" s="116">
        <f>E12-'[3]10當年退離(政)-性別'!E12</f>
        <v>0</v>
      </c>
      <c r="F29" s="116">
        <f>F12-'[3]10當年退離(政)-性別'!F12</f>
        <v>0</v>
      </c>
      <c r="G29" s="116">
        <f>G12-'[3]10當年退離(政)-性別'!G12</f>
        <v>0</v>
      </c>
      <c r="H29" s="116">
        <f>H12-'[3]10當年退離(政)-性別'!H12</f>
        <v>0</v>
      </c>
      <c r="I29" s="116">
        <f>I12-'[3]10當年退離(政)-性別'!I12</f>
        <v>0</v>
      </c>
      <c r="J29" s="116">
        <f>J12-'[3]10當年退離(政)-性別'!J12</f>
        <v>0</v>
      </c>
      <c r="K29" s="116">
        <f>K12-'[3]10當年退離(政)-性別'!K12</f>
        <v>0</v>
      </c>
      <c r="L29" s="116">
        <f>L12-'[3]10當年退離(政)-性別'!L12</f>
        <v>0</v>
      </c>
      <c r="M29" s="116">
        <f>M12-'[3]10當年退離(政)-性別'!M12</f>
        <v>0</v>
      </c>
      <c r="N29" s="116">
        <f>N12-'[3]10當年退離(政)-性別'!N12</f>
        <v>0</v>
      </c>
    </row>
    <row r="30" spans="1:28" ht="74.25" customHeight="1">
      <c r="B30" s="116">
        <f>B13-'[3]10當年退離(政)-性別'!B13</f>
        <v>0</v>
      </c>
      <c r="C30" s="116">
        <f>C13-'[3]10當年退離(政)-性別'!C13</f>
        <v>0</v>
      </c>
      <c r="D30" s="116">
        <f>D13-'[3]10當年退離(政)-性別'!D13</f>
        <v>0</v>
      </c>
      <c r="E30" s="116">
        <f>E13-'[3]10當年退離(政)-性別'!E13</f>
        <v>0</v>
      </c>
      <c r="F30" s="116">
        <f>F13-'[3]10當年退離(政)-性別'!F13</f>
        <v>0</v>
      </c>
      <c r="G30" s="116">
        <f>G13-'[3]10當年退離(政)-性別'!G13</f>
        <v>0</v>
      </c>
      <c r="H30" s="116">
        <f>H13-'[3]10當年退離(政)-性別'!H13</f>
        <v>0</v>
      </c>
      <c r="I30" s="116">
        <f>I13-'[3]10當年退離(政)-性別'!I13</f>
        <v>0</v>
      </c>
      <c r="J30" s="116">
        <f>J13-'[3]10當年退離(政)-性別'!J13</f>
        <v>0</v>
      </c>
      <c r="K30" s="116">
        <f>K13-'[3]10當年退離(政)-性別'!K13</f>
        <v>0</v>
      </c>
      <c r="L30" s="116">
        <f>L13-'[3]10當年退離(政)-性別'!L13</f>
        <v>0</v>
      </c>
      <c r="M30" s="116">
        <f>M13-'[3]10當年退離(政)-性別'!M13</f>
        <v>0</v>
      </c>
      <c r="N30" s="116">
        <f>N13-'[3]10當年退離(政)-性別'!N13</f>
        <v>0</v>
      </c>
    </row>
    <row r="31" spans="1:28" ht="74.25" customHeight="1">
      <c r="B31" s="116">
        <f>B14-'[3]10當年退離(政)-性別'!B14</f>
        <v>0</v>
      </c>
      <c r="C31" s="116">
        <f>C14-'[3]10當年退離(政)-性別'!C14</f>
        <v>0</v>
      </c>
      <c r="D31" s="116">
        <f>D14-'[3]10當年退離(政)-性別'!D14</f>
        <v>0</v>
      </c>
      <c r="E31" s="116">
        <f>E14-'[3]10當年退離(政)-性別'!E14</f>
        <v>0</v>
      </c>
      <c r="F31" s="116">
        <f>F14-'[3]10當年退離(政)-性別'!F14</f>
        <v>0</v>
      </c>
      <c r="G31" s="116">
        <f>G14-'[3]10當年退離(政)-性別'!G14</f>
        <v>0</v>
      </c>
      <c r="H31" s="116">
        <f>H14-'[3]10當年退離(政)-性別'!H14</f>
        <v>0</v>
      </c>
      <c r="I31" s="116">
        <f>I14-'[3]10當年退離(政)-性別'!I14</f>
        <v>0</v>
      </c>
      <c r="J31" s="116">
        <f>J14-'[3]10當年退離(政)-性別'!J14</f>
        <v>0</v>
      </c>
      <c r="K31" s="116">
        <f>K14-'[3]10當年退離(政)-性別'!K14</f>
        <v>0</v>
      </c>
      <c r="L31" s="116">
        <f>L14-'[3]10當年退離(政)-性別'!L14</f>
        <v>0</v>
      </c>
      <c r="M31" s="116">
        <f>M14-'[3]10當年退離(政)-性別'!M14</f>
        <v>0</v>
      </c>
      <c r="N31" s="116">
        <f>N14-'[3]10當年退離(政)-性別'!N14</f>
        <v>0</v>
      </c>
    </row>
    <row r="32" spans="1:28" ht="74.25" customHeight="1">
      <c r="B32" s="116">
        <f>B15-'[3]10當年退離(政)-性別'!B15</f>
        <v>0</v>
      </c>
      <c r="C32" s="116">
        <f>C15-'[3]10當年退離(政)-性別'!C15</f>
        <v>0</v>
      </c>
      <c r="D32" s="116">
        <f>D15-'[3]10當年退離(政)-性別'!D15</f>
        <v>0</v>
      </c>
      <c r="E32" s="116">
        <f>E15-'[3]10當年退離(政)-性別'!E15</f>
        <v>0</v>
      </c>
      <c r="F32" s="116">
        <f>F15-'[3]10當年退離(政)-性別'!F15</f>
        <v>0</v>
      </c>
      <c r="G32" s="116">
        <f>G15-'[3]10當年退離(政)-性別'!G15</f>
        <v>0</v>
      </c>
      <c r="H32" s="116">
        <f>H15-'[3]10當年退離(政)-性別'!H15</f>
        <v>0</v>
      </c>
      <c r="I32" s="116">
        <f>I15-'[3]10當年退離(政)-性別'!I15</f>
        <v>0</v>
      </c>
      <c r="J32" s="116">
        <f>J15-'[3]10當年退離(政)-性別'!J15</f>
        <v>0</v>
      </c>
      <c r="K32" s="116">
        <f>K15-'[3]10當年退離(政)-性別'!K15</f>
        <v>0</v>
      </c>
      <c r="L32" s="116">
        <f>L15-'[3]10當年退離(政)-性別'!L15</f>
        <v>0</v>
      </c>
      <c r="M32" s="116">
        <f>M15-'[3]10當年退離(政)-性別'!M15</f>
        <v>0</v>
      </c>
      <c r="N32" s="116">
        <f>N15-'[3]10當年退離(政)-性別'!N15</f>
        <v>0</v>
      </c>
    </row>
    <row r="33" spans="2:14" ht="74.25" customHeight="1">
      <c r="B33" s="116">
        <f>B16-'[3]10當年退離(政)-性別'!B16</f>
        <v>0</v>
      </c>
      <c r="C33" s="116">
        <f>C16-'[3]10當年退離(政)-性別'!C16</f>
        <v>0</v>
      </c>
      <c r="D33" s="116">
        <f>D16-'[3]10當年退離(政)-性別'!D16</f>
        <v>0</v>
      </c>
      <c r="E33" s="116">
        <f>E16-'[3]10當年退離(政)-性別'!E16</f>
        <v>0</v>
      </c>
      <c r="F33" s="116">
        <f>F16-'[3]10當年退離(政)-性別'!F16</f>
        <v>0</v>
      </c>
      <c r="G33" s="116">
        <f>G16-'[3]10當年退離(政)-性別'!G16</f>
        <v>0</v>
      </c>
      <c r="H33" s="116">
        <f>H16-'[3]10當年退離(政)-性別'!H16</f>
        <v>0</v>
      </c>
      <c r="I33" s="116">
        <f>I16-'[3]10當年退離(政)-性別'!I16</f>
        <v>0</v>
      </c>
      <c r="J33" s="116">
        <f>J16-'[3]10當年退離(政)-性別'!J16</f>
        <v>0</v>
      </c>
      <c r="K33" s="116">
        <f>K16-'[3]10當年退離(政)-性別'!K16</f>
        <v>0</v>
      </c>
      <c r="L33" s="116">
        <f>L16-'[3]10當年退離(政)-性別'!L16</f>
        <v>0</v>
      </c>
      <c r="M33" s="116">
        <f>M16-'[3]10當年退離(政)-性別'!M16</f>
        <v>0</v>
      </c>
      <c r="N33" s="116">
        <f>N16-'[3]10當年退離(政)-性別'!N16</f>
        <v>0</v>
      </c>
    </row>
    <row r="34" spans="2:14" ht="74.25" customHeight="1">
      <c r="B34" s="116">
        <f>B17-'[3]10當年退離(政)-性別'!B17</f>
        <v>0</v>
      </c>
      <c r="C34" s="116">
        <f>C17-'[3]10當年退離(政)-性別'!C17</f>
        <v>0</v>
      </c>
      <c r="D34" s="116">
        <f>D17-'[3]10當年退離(政)-性別'!D17</f>
        <v>0</v>
      </c>
      <c r="E34" s="116">
        <f>E17-'[3]10當年退離(政)-性別'!E17</f>
        <v>0</v>
      </c>
      <c r="F34" s="116">
        <f>F17-'[3]10當年退離(政)-性別'!F17</f>
        <v>0</v>
      </c>
      <c r="G34" s="116">
        <f>G17-'[3]10當年退離(政)-性別'!G17</f>
        <v>0</v>
      </c>
      <c r="H34" s="116">
        <f>H17-'[3]10當年退離(政)-性別'!H17</f>
        <v>0</v>
      </c>
      <c r="I34" s="116">
        <f>I17-'[3]10當年退離(政)-性別'!I17</f>
        <v>0</v>
      </c>
      <c r="J34" s="116">
        <f>J17-'[3]10當年退離(政)-性別'!J17</f>
        <v>0</v>
      </c>
      <c r="K34" s="116">
        <f>K17-'[3]10當年退離(政)-性別'!K17</f>
        <v>0</v>
      </c>
      <c r="L34" s="116">
        <f>L17-'[3]10當年退離(政)-性別'!L17</f>
        <v>0</v>
      </c>
      <c r="M34" s="116">
        <f>M17-'[3]10當年退離(政)-性別'!M17</f>
        <v>0</v>
      </c>
      <c r="N34" s="116">
        <f>N17-'[3]10當年退離(政)-性別'!N17</f>
        <v>0</v>
      </c>
    </row>
    <row r="35" spans="2:14" ht="74.25" customHeight="1">
      <c r="B35" s="116">
        <f>B18-'[3]10當年退離(政)-性別'!B18</f>
        <v>0</v>
      </c>
      <c r="C35" s="116">
        <f>C18-'[3]10當年退離(政)-性別'!C18</f>
        <v>0</v>
      </c>
      <c r="D35" s="116">
        <f>D18-'[3]10當年退離(政)-性別'!D18</f>
        <v>0</v>
      </c>
      <c r="E35" s="116">
        <f>E18-'[3]10當年退離(政)-性別'!E18</f>
        <v>0</v>
      </c>
      <c r="F35" s="116">
        <f>F18-'[3]10當年退離(政)-性別'!F18</f>
        <v>0</v>
      </c>
      <c r="G35" s="116">
        <f>G18-'[3]10當年退離(政)-性別'!G18</f>
        <v>0</v>
      </c>
      <c r="H35" s="116">
        <f>H18-'[3]10當年退離(政)-性別'!H18</f>
        <v>0</v>
      </c>
      <c r="I35" s="116">
        <f>I18-'[3]10當年退離(政)-性別'!I18</f>
        <v>0</v>
      </c>
      <c r="J35" s="116">
        <f>J18-'[3]10當年退離(政)-性別'!J18</f>
        <v>0</v>
      </c>
      <c r="K35" s="116">
        <f>K18-'[3]10當年退離(政)-性別'!K18</f>
        <v>0</v>
      </c>
      <c r="L35" s="116">
        <f>L18-'[3]10當年退離(政)-性別'!L18</f>
        <v>0</v>
      </c>
      <c r="M35" s="116">
        <f>M18-'[3]10當年退離(政)-性別'!M18</f>
        <v>0</v>
      </c>
      <c r="N35" s="116">
        <f>N18-'[3]10當年退離(政)-性別'!N18</f>
        <v>0</v>
      </c>
    </row>
    <row r="36" spans="2:14" ht="74.25" customHeight="1">
      <c r="B36" s="116">
        <f>B19-'[3]10當年退離(政)-性別'!B19</f>
        <v>0</v>
      </c>
      <c r="C36" s="116">
        <f>C19-'[3]10當年退離(政)-性別'!C19</f>
        <v>0</v>
      </c>
      <c r="D36" s="116">
        <f>D19-'[3]10當年退離(政)-性別'!D19</f>
        <v>0</v>
      </c>
      <c r="E36" s="116">
        <f>E19-'[3]10當年退離(政)-性別'!E19</f>
        <v>0</v>
      </c>
      <c r="F36" s="116">
        <f>F19-'[3]10當年退離(政)-性別'!F19</f>
        <v>0</v>
      </c>
      <c r="G36" s="116">
        <f>G19-'[3]10當年退離(政)-性別'!G19</f>
        <v>0</v>
      </c>
      <c r="H36" s="116">
        <f>H19-'[3]10當年退離(政)-性別'!H19</f>
        <v>0</v>
      </c>
      <c r="I36" s="116">
        <f>I19-'[3]10當年退離(政)-性別'!I19</f>
        <v>0</v>
      </c>
      <c r="J36" s="116">
        <f>J19-'[3]10當年退離(政)-性別'!J19</f>
        <v>0</v>
      </c>
      <c r="K36" s="116">
        <f>K19-'[3]10當年退離(政)-性別'!K19</f>
        <v>0</v>
      </c>
      <c r="L36" s="116">
        <f>L19-'[3]10當年退離(政)-性別'!L19</f>
        <v>0</v>
      </c>
      <c r="M36" s="116">
        <f>M19-'[3]10當年退離(政)-性別'!M19</f>
        <v>0</v>
      </c>
      <c r="N36" s="116">
        <f>N19-'[3]10當年退離(政)-性別'!N19</f>
        <v>0</v>
      </c>
    </row>
    <row r="37" spans="2:14" ht="74.25" customHeight="1">
      <c r="B37" s="116">
        <f>B20-'[3]10當年退離(政)-性別'!B20</f>
        <v>0</v>
      </c>
      <c r="C37" s="116">
        <f>C20-'[3]10當年退離(政)-性別'!C20</f>
        <v>0</v>
      </c>
      <c r="D37" s="116">
        <f>D20-'[3]10當年退離(政)-性別'!D20</f>
        <v>0</v>
      </c>
      <c r="E37" s="116">
        <f>E20-'[3]10當年退離(政)-性別'!E20</f>
        <v>0</v>
      </c>
      <c r="F37" s="116">
        <f>F20-'[3]10當年退離(政)-性別'!F20</f>
        <v>0</v>
      </c>
      <c r="G37" s="116">
        <f>G20-'[3]10當年退離(政)-性別'!G20</f>
        <v>0</v>
      </c>
      <c r="H37" s="116">
        <f>H20-'[3]10當年退離(政)-性別'!H20</f>
        <v>0</v>
      </c>
      <c r="I37" s="116">
        <f>I20-'[3]10當年退離(政)-性別'!I20</f>
        <v>0</v>
      </c>
      <c r="J37" s="116">
        <f>J20-'[3]10當年退離(政)-性別'!J20</f>
        <v>0</v>
      </c>
      <c r="K37" s="116">
        <f>K20-'[3]10當年退離(政)-性別'!K20</f>
        <v>0</v>
      </c>
      <c r="L37" s="116">
        <f>L20-'[3]10當年退離(政)-性別'!L20</f>
        <v>0</v>
      </c>
      <c r="M37" s="116">
        <f>M20-'[3]10當年退離(政)-性別'!M20</f>
        <v>0</v>
      </c>
      <c r="N37" s="116">
        <f>N20-'[3]10當年退離(政)-性別'!N20</f>
        <v>0</v>
      </c>
    </row>
    <row r="38" spans="2:14" ht="74.25" customHeight="1">
      <c r="B38" s="116"/>
      <c r="C38" s="116"/>
      <c r="D38" s="116"/>
      <c r="E38" s="116"/>
      <c r="F38" s="116"/>
      <c r="G38" s="116"/>
      <c r="H38" s="116"/>
      <c r="I38" s="116"/>
      <c r="J38" s="116"/>
      <c r="K38" s="116"/>
      <c r="L38" s="116"/>
      <c r="M38" s="116"/>
      <c r="N38" s="116"/>
    </row>
    <row r="39" spans="2:14" ht="74.25" customHeight="1">
      <c r="B39" s="116"/>
      <c r="C39" s="116"/>
      <c r="D39" s="116"/>
      <c r="E39" s="116"/>
      <c r="F39" s="116"/>
      <c r="G39" s="116"/>
      <c r="H39" s="116"/>
      <c r="I39" s="116"/>
      <c r="J39" s="116"/>
      <c r="K39" s="116"/>
      <c r="L39" s="116"/>
      <c r="M39" s="116"/>
      <c r="N39" s="116"/>
    </row>
    <row r="40" spans="2:14" ht="74.25" customHeight="1">
      <c r="B40" s="116"/>
      <c r="C40" s="116"/>
      <c r="D40" s="116"/>
      <c r="E40" s="116"/>
      <c r="F40" s="116"/>
      <c r="G40" s="116"/>
      <c r="H40" s="116"/>
      <c r="I40" s="116"/>
      <c r="J40" s="116"/>
      <c r="K40" s="116"/>
      <c r="L40" s="116"/>
      <c r="M40" s="116"/>
      <c r="N40" s="116"/>
    </row>
    <row r="41" spans="2:14" ht="74.25" customHeight="1">
      <c r="B41" s="116"/>
      <c r="C41" s="116"/>
      <c r="D41" s="116"/>
      <c r="E41" s="116"/>
      <c r="F41" s="116"/>
      <c r="G41" s="116"/>
      <c r="H41" s="116"/>
      <c r="I41" s="116"/>
      <c r="J41" s="116"/>
      <c r="K41" s="116"/>
      <c r="L41" s="116"/>
      <c r="M41" s="116"/>
      <c r="N41" s="116"/>
    </row>
    <row r="42" spans="2:14" ht="74.25" customHeight="1">
      <c r="B42" s="116"/>
      <c r="C42" s="116"/>
      <c r="D42" s="116"/>
      <c r="E42" s="116"/>
      <c r="F42" s="116"/>
      <c r="G42" s="116"/>
      <c r="H42" s="116"/>
      <c r="I42" s="116"/>
      <c r="J42" s="116"/>
      <c r="K42" s="116"/>
      <c r="L42" s="116"/>
      <c r="M42" s="116"/>
      <c r="N42" s="116"/>
    </row>
    <row r="43" spans="2:14" ht="74.25" customHeight="1">
      <c r="B43" s="116"/>
      <c r="C43" s="116"/>
      <c r="D43" s="116"/>
      <c r="E43" s="116"/>
      <c r="F43" s="116"/>
      <c r="G43" s="116"/>
      <c r="H43" s="116"/>
      <c r="I43" s="116"/>
      <c r="J43" s="116"/>
      <c r="K43" s="116"/>
      <c r="L43" s="116"/>
      <c r="M43" s="116"/>
      <c r="N43" s="116"/>
    </row>
    <row r="44" spans="2:14" ht="74.25" customHeight="1">
      <c r="B44" s="116"/>
      <c r="C44" s="116"/>
      <c r="D44" s="116"/>
      <c r="E44" s="116"/>
      <c r="F44" s="116"/>
      <c r="G44" s="116"/>
      <c r="H44" s="116"/>
      <c r="I44" s="116"/>
      <c r="J44" s="116"/>
      <c r="K44" s="116"/>
      <c r="L44" s="116"/>
      <c r="M44" s="116"/>
      <c r="N44" s="116"/>
    </row>
    <row r="45" spans="2:14" ht="74.25" customHeight="1">
      <c r="B45" s="116"/>
      <c r="C45" s="116"/>
      <c r="D45" s="116"/>
      <c r="E45" s="116"/>
      <c r="F45" s="116"/>
      <c r="G45" s="116"/>
      <c r="H45" s="116"/>
      <c r="I45" s="116"/>
      <c r="J45" s="116"/>
      <c r="K45" s="116"/>
      <c r="L45" s="116"/>
      <c r="M45" s="116"/>
      <c r="N45" s="116"/>
    </row>
    <row r="46" spans="2:14" ht="74.25" customHeight="1">
      <c r="B46" s="116"/>
      <c r="C46" s="116"/>
      <c r="D46" s="116"/>
      <c r="E46" s="116"/>
      <c r="F46" s="116"/>
      <c r="G46" s="116"/>
      <c r="H46" s="116"/>
      <c r="I46" s="116"/>
      <c r="J46" s="116"/>
      <c r="K46" s="116"/>
      <c r="L46" s="116"/>
      <c r="M46" s="116"/>
      <c r="N46" s="116"/>
    </row>
    <row r="47" spans="2:14" ht="74.25" customHeight="1">
      <c r="B47" s="116"/>
      <c r="C47" s="116"/>
      <c r="D47" s="116"/>
      <c r="E47" s="116"/>
      <c r="F47" s="116"/>
      <c r="G47" s="116"/>
      <c r="H47" s="116"/>
      <c r="I47" s="116"/>
      <c r="J47" s="116"/>
      <c r="K47" s="116"/>
      <c r="L47" s="116"/>
      <c r="M47" s="116"/>
      <c r="N47" s="116"/>
    </row>
    <row r="48" spans="2:14" ht="74.25" customHeight="1">
      <c r="B48" s="116"/>
      <c r="C48" s="116"/>
      <c r="D48" s="116"/>
      <c r="E48" s="116"/>
      <c r="F48" s="116"/>
      <c r="G48" s="116"/>
      <c r="H48" s="116"/>
      <c r="I48" s="116"/>
      <c r="J48" s="116"/>
      <c r="K48" s="116"/>
      <c r="L48" s="116"/>
      <c r="M48" s="116"/>
      <c r="N48" s="116"/>
    </row>
    <row r="49" spans="2:14" ht="74.25" customHeight="1">
      <c r="B49" s="116"/>
      <c r="C49" s="116"/>
      <c r="D49" s="116"/>
      <c r="E49" s="116"/>
      <c r="F49" s="116"/>
      <c r="G49" s="116"/>
      <c r="H49" s="116"/>
      <c r="I49" s="116"/>
      <c r="J49" s="116"/>
      <c r="K49" s="116"/>
      <c r="L49" s="116"/>
      <c r="M49" s="116"/>
      <c r="N49" s="116"/>
    </row>
    <row r="50" spans="2:14" ht="74.25" customHeight="1">
      <c r="B50" s="116"/>
      <c r="C50" s="116"/>
      <c r="D50" s="116"/>
      <c r="E50" s="116"/>
      <c r="F50" s="116"/>
      <c r="G50" s="116"/>
      <c r="H50" s="116"/>
      <c r="I50" s="116"/>
      <c r="J50" s="116"/>
      <c r="K50" s="116"/>
      <c r="L50" s="116"/>
      <c r="M50" s="116"/>
      <c r="N50" s="116"/>
    </row>
    <row r="51" spans="2:14" ht="74.25" customHeight="1">
      <c r="B51" s="116"/>
      <c r="C51" s="116"/>
      <c r="D51" s="116"/>
      <c r="E51" s="116"/>
      <c r="F51" s="116"/>
      <c r="G51" s="116"/>
      <c r="H51" s="116"/>
      <c r="I51" s="116"/>
      <c r="J51" s="116"/>
      <c r="K51" s="116"/>
      <c r="L51" s="116"/>
      <c r="M51" s="116"/>
      <c r="N51" s="116"/>
    </row>
    <row r="52" spans="2:14" ht="74.25" customHeight="1">
      <c r="B52" s="116"/>
      <c r="C52" s="116"/>
      <c r="D52" s="116"/>
      <c r="E52" s="116"/>
      <c r="F52" s="116"/>
      <c r="G52" s="116"/>
      <c r="H52" s="116"/>
      <c r="I52" s="116"/>
      <c r="J52" s="116"/>
      <c r="K52" s="116"/>
      <c r="L52" s="116"/>
      <c r="M52" s="116"/>
      <c r="N52" s="116"/>
    </row>
    <row r="53" spans="2:14" ht="74.25" customHeight="1">
      <c r="B53" s="116"/>
      <c r="C53" s="116"/>
      <c r="D53" s="116"/>
      <c r="E53" s="116"/>
      <c r="F53" s="116"/>
      <c r="G53" s="116"/>
      <c r="H53" s="116"/>
      <c r="I53" s="116"/>
      <c r="J53" s="116"/>
      <c r="K53" s="116"/>
      <c r="L53" s="116"/>
      <c r="M53" s="116"/>
      <c r="N53" s="116"/>
    </row>
    <row r="54" spans="2:14" ht="74.25" customHeight="1">
      <c r="B54" s="116"/>
      <c r="C54" s="116"/>
      <c r="D54" s="116"/>
      <c r="E54" s="116"/>
      <c r="F54" s="116"/>
      <c r="G54" s="116"/>
      <c r="H54" s="116"/>
      <c r="I54" s="116"/>
      <c r="J54" s="116"/>
      <c r="K54" s="116"/>
      <c r="L54" s="116"/>
      <c r="M54" s="116"/>
      <c r="N54" s="116"/>
    </row>
    <row r="55" spans="2:14" ht="74.25" customHeight="1">
      <c r="B55" s="116"/>
      <c r="C55" s="116"/>
      <c r="D55" s="116"/>
      <c r="E55" s="116"/>
      <c r="F55" s="116"/>
      <c r="G55" s="116"/>
      <c r="H55" s="116"/>
      <c r="I55" s="116"/>
      <c r="J55" s="116"/>
      <c r="K55" s="116"/>
      <c r="L55" s="116"/>
      <c r="M55" s="116"/>
      <c r="N55" s="116"/>
    </row>
    <row r="56" spans="2:14" ht="74.25" customHeight="1">
      <c r="B56" s="116"/>
      <c r="C56" s="116"/>
      <c r="D56" s="116"/>
      <c r="E56" s="116"/>
      <c r="F56" s="116"/>
      <c r="G56" s="116"/>
      <c r="H56" s="116"/>
      <c r="I56" s="116"/>
      <c r="J56" s="116"/>
      <c r="K56" s="116"/>
      <c r="L56" s="116"/>
      <c r="M56" s="116"/>
      <c r="N56" s="116"/>
    </row>
    <row r="57" spans="2:14" ht="74.25" customHeight="1">
      <c r="B57" s="116"/>
      <c r="C57" s="116"/>
      <c r="D57" s="116"/>
      <c r="E57" s="116"/>
      <c r="F57" s="116"/>
      <c r="G57" s="116"/>
      <c r="H57" s="116"/>
      <c r="I57" s="116"/>
      <c r="J57" s="116"/>
      <c r="K57" s="116"/>
      <c r="L57" s="116"/>
      <c r="M57" s="116"/>
      <c r="N57" s="116"/>
    </row>
    <row r="58" spans="2:14" ht="74.25" customHeight="1">
      <c r="B58" s="116"/>
      <c r="C58" s="116"/>
      <c r="D58" s="116"/>
      <c r="E58" s="116"/>
      <c r="F58" s="116"/>
      <c r="G58" s="116"/>
      <c r="H58" s="116"/>
      <c r="I58" s="116"/>
      <c r="J58" s="116"/>
      <c r="K58" s="116"/>
      <c r="L58" s="116"/>
      <c r="M58" s="116"/>
      <c r="N58" s="116"/>
    </row>
    <row r="59" spans="2:14" ht="74.25" customHeight="1">
      <c r="B59" s="116"/>
      <c r="C59" s="116"/>
      <c r="D59" s="116"/>
      <c r="E59" s="116"/>
      <c r="F59" s="116"/>
      <c r="G59" s="116"/>
      <c r="H59" s="116"/>
      <c r="I59" s="116"/>
      <c r="J59" s="116"/>
      <c r="K59" s="116"/>
      <c r="L59" s="116"/>
      <c r="M59" s="116"/>
      <c r="N59" s="116"/>
    </row>
    <row r="60" spans="2:14" ht="74.25" customHeight="1">
      <c r="B60" s="116"/>
      <c r="C60" s="116"/>
      <c r="D60" s="116"/>
      <c r="E60" s="116"/>
      <c r="F60" s="116"/>
      <c r="G60" s="116"/>
      <c r="H60" s="116"/>
      <c r="I60" s="116"/>
      <c r="J60" s="116"/>
      <c r="K60" s="116"/>
      <c r="L60" s="116"/>
      <c r="M60" s="116"/>
      <c r="N60" s="116"/>
    </row>
    <row r="61" spans="2:14" ht="74.25" customHeight="1">
      <c r="B61" s="116"/>
      <c r="C61" s="116"/>
      <c r="D61" s="116"/>
      <c r="E61" s="116"/>
      <c r="F61" s="116"/>
      <c r="G61" s="116"/>
      <c r="H61" s="116"/>
      <c r="I61" s="116"/>
      <c r="J61" s="116"/>
      <c r="K61" s="116"/>
      <c r="L61" s="116"/>
      <c r="M61" s="116"/>
      <c r="N61" s="116"/>
    </row>
    <row r="62" spans="2:14" ht="74.25" customHeight="1">
      <c r="B62" s="116"/>
      <c r="C62" s="116"/>
      <c r="D62" s="116"/>
      <c r="E62" s="116"/>
      <c r="F62" s="116"/>
      <c r="G62" s="116"/>
      <c r="H62" s="116"/>
      <c r="I62" s="116"/>
      <c r="J62" s="116"/>
      <c r="K62" s="116"/>
      <c r="L62" s="116"/>
      <c r="M62" s="116"/>
      <c r="N62" s="116"/>
    </row>
    <row r="63" spans="2:14" ht="74.25" customHeight="1">
      <c r="B63" s="116"/>
      <c r="C63" s="116"/>
      <c r="D63" s="116"/>
      <c r="E63" s="116"/>
      <c r="F63" s="116"/>
      <c r="G63" s="116"/>
      <c r="H63" s="116"/>
      <c r="I63" s="116"/>
      <c r="J63" s="116"/>
      <c r="K63" s="116"/>
      <c r="L63" s="116"/>
      <c r="M63" s="116"/>
      <c r="N63" s="116"/>
    </row>
    <row r="64" spans="2:14" ht="74.25" customHeight="1">
      <c r="B64" s="116"/>
      <c r="C64" s="116"/>
      <c r="D64" s="116"/>
      <c r="E64" s="116"/>
      <c r="F64" s="116"/>
      <c r="G64" s="116"/>
      <c r="H64" s="116"/>
      <c r="I64" s="116"/>
      <c r="J64" s="116"/>
      <c r="K64" s="116"/>
      <c r="L64" s="116"/>
      <c r="M64" s="116"/>
      <c r="N64" s="116"/>
    </row>
    <row r="65" spans="2:14" ht="74.25" customHeight="1">
      <c r="B65" s="116"/>
      <c r="C65" s="116"/>
      <c r="D65" s="116"/>
      <c r="E65" s="116"/>
      <c r="F65" s="116"/>
      <c r="G65" s="116"/>
      <c r="H65" s="116"/>
      <c r="I65" s="116"/>
      <c r="J65" s="116"/>
      <c r="K65" s="116"/>
      <c r="L65" s="116"/>
      <c r="M65" s="116"/>
      <c r="N65" s="116"/>
    </row>
    <row r="66" spans="2:14" ht="74.25" customHeight="1">
      <c r="B66" s="116"/>
      <c r="C66" s="116"/>
      <c r="D66" s="116"/>
      <c r="E66" s="116"/>
      <c r="F66" s="116"/>
      <c r="G66" s="116"/>
      <c r="H66" s="116"/>
      <c r="I66" s="116"/>
      <c r="J66" s="116"/>
      <c r="K66" s="116"/>
      <c r="L66" s="116"/>
      <c r="M66" s="116"/>
      <c r="N66" s="116"/>
    </row>
    <row r="67" spans="2:14" ht="74.25" customHeight="1">
      <c r="B67" s="116"/>
      <c r="C67" s="116"/>
      <c r="D67" s="116"/>
      <c r="E67" s="116"/>
      <c r="F67" s="116"/>
      <c r="G67" s="116"/>
      <c r="H67" s="116"/>
      <c r="I67" s="116"/>
      <c r="J67" s="116"/>
      <c r="K67" s="116"/>
      <c r="L67" s="116"/>
      <c r="M67" s="116"/>
      <c r="N67" s="116"/>
    </row>
    <row r="68" spans="2:14" ht="74.25" customHeight="1">
      <c r="B68" s="116"/>
      <c r="C68" s="116"/>
      <c r="D68" s="116"/>
      <c r="E68" s="116"/>
      <c r="F68" s="116"/>
      <c r="G68" s="116"/>
      <c r="H68" s="116"/>
      <c r="I68" s="116"/>
      <c r="J68" s="116"/>
      <c r="K68" s="116"/>
      <c r="L68" s="116"/>
      <c r="M68" s="116"/>
      <c r="N68" s="116"/>
    </row>
    <row r="69" spans="2:14" ht="74.25" customHeight="1">
      <c r="B69" s="116"/>
      <c r="C69" s="116"/>
      <c r="D69" s="116"/>
      <c r="E69" s="116"/>
      <c r="F69" s="116"/>
      <c r="G69" s="116"/>
      <c r="H69" s="116"/>
      <c r="I69" s="116"/>
      <c r="J69" s="116"/>
      <c r="K69" s="116"/>
      <c r="L69" s="116"/>
      <c r="M69" s="116"/>
      <c r="N69" s="116"/>
    </row>
    <row r="70" spans="2:14" ht="74.25" customHeight="1">
      <c r="B70" s="116"/>
      <c r="C70" s="116"/>
      <c r="D70" s="116"/>
      <c r="E70" s="116"/>
      <c r="F70" s="116"/>
      <c r="G70" s="116"/>
      <c r="H70" s="116"/>
      <c r="I70" s="116"/>
      <c r="J70" s="116"/>
      <c r="K70" s="116"/>
      <c r="L70" s="116"/>
      <c r="M70" s="116"/>
      <c r="N70" s="116"/>
    </row>
  </sheetData>
  <mergeCells count="17">
    <mergeCell ref="G3:M3"/>
    <mergeCell ref="A1:G1"/>
    <mergeCell ref="H1:N1"/>
    <mergeCell ref="A2:G2"/>
    <mergeCell ref="H2:M2"/>
    <mergeCell ref="A21:N21"/>
    <mergeCell ref="N3:N5"/>
    <mergeCell ref="C4:C5"/>
    <mergeCell ref="D4:D5"/>
    <mergeCell ref="E4:E5"/>
    <mergeCell ref="F4:F5"/>
    <mergeCell ref="G4:G5"/>
    <mergeCell ref="H4:J4"/>
    <mergeCell ref="K4:M4"/>
    <mergeCell ref="A3:A5"/>
    <mergeCell ref="B3:B5"/>
    <mergeCell ref="C3:F3"/>
  </mergeCells>
  <phoneticPr fontId="3" type="noConversion"/>
  <pageMargins left="0.62992125984251968" right="0" top="0.59055118110236227" bottom="0.53"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indexed="13"/>
  </sheetPr>
  <dimension ref="A1:AD42"/>
  <sheetViews>
    <sheetView view="pageBreakPreview" zoomScaleNormal="75" zoomScaleSheetLayoutView="80" workbookViewId="0">
      <pane xSplit="1" ySplit="5" topLeftCell="B15"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9.625" style="758" customWidth="1"/>
    <col min="2" max="3" width="10.375" style="748" customWidth="1"/>
    <col min="4" max="4" width="14.125" style="748" customWidth="1"/>
    <col min="5" max="5" width="10.375" style="748" customWidth="1"/>
    <col min="6" max="6" width="14" style="748" customWidth="1"/>
    <col min="7" max="7" width="10.375" style="748" customWidth="1"/>
    <col min="8" max="8" width="12.125" style="748" customWidth="1"/>
    <col min="9" max="9" width="8.375" style="748" customWidth="1"/>
    <col min="10" max="10" width="13.25" style="748" customWidth="1"/>
    <col min="11" max="11" width="16.625" style="748" customWidth="1"/>
    <col min="12" max="12" width="8.375" style="748" customWidth="1"/>
    <col min="13" max="13" width="13.25" style="748" customWidth="1"/>
    <col min="14" max="14" width="16.625" style="748" customWidth="1"/>
    <col min="15" max="15" width="13" style="748" customWidth="1"/>
    <col min="16" max="16" width="16.25" style="748" bestFit="1" customWidth="1"/>
    <col min="17" max="16384" width="8.125" style="748"/>
  </cols>
  <sheetData>
    <row r="1" spans="1:30" ht="33" customHeight="1">
      <c r="A1" s="848" t="s">
        <v>272</v>
      </c>
      <c r="B1" s="848"/>
      <c r="C1" s="848"/>
      <c r="D1" s="848"/>
      <c r="E1" s="848"/>
      <c r="F1" s="848"/>
      <c r="G1" s="848"/>
      <c r="H1" s="848"/>
      <c r="I1" s="849" t="s">
        <v>206</v>
      </c>
      <c r="J1" s="849"/>
      <c r="K1" s="849"/>
      <c r="L1" s="849"/>
      <c r="M1" s="849"/>
      <c r="N1" s="849"/>
      <c r="O1" s="849"/>
    </row>
    <row r="2" spans="1:30" s="150" customFormat="1" ht="33" customHeight="1">
      <c r="A2" s="850" t="s">
        <v>64</v>
      </c>
      <c r="B2" s="850"/>
      <c r="C2" s="850"/>
      <c r="D2" s="850"/>
      <c r="E2" s="850"/>
      <c r="F2" s="850"/>
      <c r="G2" s="850"/>
      <c r="H2" s="850"/>
      <c r="I2" s="851" t="s">
        <v>398</v>
      </c>
      <c r="J2" s="851"/>
      <c r="K2" s="851"/>
      <c r="L2" s="851"/>
      <c r="M2" s="851"/>
      <c r="N2" s="851"/>
      <c r="O2" s="749" t="s">
        <v>9</v>
      </c>
    </row>
    <row r="3" spans="1:30" s="150" customFormat="1" ht="29.25" customHeight="1">
      <c r="A3" s="847" t="s">
        <v>48</v>
      </c>
      <c r="B3" s="852" t="s">
        <v>49</v>
      </c>
      <c r="C3" s="853" t="s">
        <v>66</v>
      </c>
      <c r="D3" s="853"/>
      <c r="E3" s="853"/>
      <c r="F3" s="853"/>
      <c r="G3" s="854" t="s">
        <v>101</v>
      </c>
      <c r="H3" s="844" t="s">
        <v>67</v>
      </c>
      <c r="I3" s="856"/>
      <c r="J3" s="856"/>
      <c r="K3" s="856"/>
      <c r="L3" s="856"/>
      <c r="M3" s="856"/>
      <c r="N3" s="857"/>
      <c r="O3" s="855" t="s">
        <v>77</v>
      </c>
      <c r="P3" s="750"/>
    </row>
    <row r="4" spans="1:30" s="150" customFormat="1" ht="29.25" customHeight="1">
      <c r="A4" s="847"/>
      <c r="B4" s="852"/>
      <c r="C4" s="839" t="s">
        <v>58</v>
      </c>
      <c r="D4" s="841" t="s">
        <v>74</v>
      </c>
      <c r="E4" s="839" t="s">
        <v>75</v>
      </c>
      <c r="F4" s="843" t="s">
        <v>76</v>
      </c>
      <c r="G4" s="855"/>
      <c r="H4" s="844" t="s">
        <v>58</v>
      </c>
      <c r="I4" s="846" t="s">
        <v>197</v>
      </c>
      <c r="J4" s="846"/>
      <c r="K4" s="847"/>
      <c r="L4" s="858" t="s">
        <v>198</v>
      </c>
      <c r="M4" s="846"/>
      <c r="N4" s="847"/>
      <c r="O4" s="855"/>
      <c r="P4" s="750"/>
    </row>
    <row r="5" spans="1:30" s="150" customFormat="1" ht="39.200000000000003" customHeight="1">
      <c r="A5" s="847"/>
      <c r="B5" s="852"/>
      <c r="C5" s="840"/>
      <c r="D5" s="842"/>
      <c r="E5" s="840"/>
      <c r="F5" s="842"/>
      <c r="G5" s="855"/>
      <c r="H5" s="845"/>
      <c r="I5" s="751" t="s">
        <v>258</v>
      </c>
      <c r="J5" s="678" t="s">
        <v>83</v>
      </c>
      <c r="K5" s="679" t="s">
        <v>1028</v>
      </c>
      <c r="L5" s="678" t="s">
        <v>258</v>
      </c>
      <c r="M5" s="678" t="s">
        <v>10</v>
      </c>
      <c r="N5" s="679" t="s">
        <v>190</v>
      </c>
      <c r="O5" s="855"/>
      <c r="P5" s="750"/>
      <c r="Q5" s="150" t="s">
        <v>1023</v>
      </c>
    </row>
    <row r="6" spans="1:30" s="150" customFormat="1" ht="37.700000000000003" customHeight="1">
      <c r="A6" s="148" t="s">
        <v>61</v>
      </c>
      <c r="B6" s="708">
        <f t="shared" ref="B6:B23" si="0">C6+G6+H6+O6</f>
        <v>8435</v>
      </c>
      <c r="C6" s="708">
        <f t="shared" ref="C6:C23" si="1">SUM(D6:F6)</f>
        <v>7288</v>
      </c>
      <c r="D6" s="752">
        <f t="shared" ref="D6:G8" si="2">D9+D12+D15+D18+D21</f>
        <v>392</v>
      </c>
      <c r="E6" s="752">
        <f t="shared" si="2"/>
        <v>6851</v>
      </c>
      <c r="F6" s="752">
        <f t="shared" si="2"/>
        <v>45</v>
      </c>
      <c r="G6" s="752">
        <f t="shared" si="2"/>
        <v>9</v>
      </c>
      <c r="H6" s="708">
        <f t="shared" ref="H6:H23" si="3">I6+L6</f>
        <v>209</v>
      </c>
      <c r="I6" s="708">
        <f t="shared" ref="I6:I13" si="4">SUM(J6:K6)</f>
        <v>194</v>
      </c>
      <c r="J6" s="752">
        <f t="shared" ref="J6:K8" si="5">J9+J12+J15+J18+J21</f>
        <v>58</v>
      </c>
      <c r="K6" s="752">
        <f t="shared" si="5"/>
        <v>136</v>
      </c>
      <c r="L6" s="708">
        <f t="shared" ref="L6:L23" si="6">SUM(M6:N6)</f>
        <v>15</v>
      </c>
      <c r="M6" s="752">
        <f t="shared" ref="M6:O8" si="7">M9+M12+M15+M18+M21</f>
        <v>1</v>
      </c>
      <c r="N6" s="752">
        <f t="shared" si="7"/>
        <v>14</v>
      </c>
      <c r="O6" s="752">
        <f t="shared" si="7"/>
        <v>929</v>
      </c>
      <c r="P6" s="149">
        <f>B6-'[6]7歷年退離(公)-OK'!B17</f>
        <v>0</v>
      </c>
      <c r="Q6" s="702">
        <f>SUM(B7:B8)-B6</f>
        <v>0</v>
      </c>
      <c r="R6" s="702">
        <f t="shared" ref="R6:AD6" si="8">SUM(C7:C8)-C6</f>
        <v>0</v>
      </c>
      <c r="S6" s="702">
        <f t="shared" si="8"/>
        <v>0</v>
      </c>
      <c r="T6" s="702">
        <f t="shared" si="8"/>
        <v>0</v>
      </c>
      <c r="U6" s="702">
        <f t="shared" si="8"/>
        <v>0</v>
      </c>
      <c r="V6" s="702">
        <f t="shared" si="8"/>
        <v>0</v>
      </c>
      <c r="W6" s="702">
        <f t="shared" si="8"/>
        <v>0</v>
      </c>
      <c r="X6" s="702">
        <f t="shared" si="8"/>
        <v>0</v>
      </c>
      <c r="Y6" s="702">
        <f t="shared" si="8"/>
        <v>0</v>
      </c>
      <c r="Z6" s="702">
        <f t="shared" si="8"/>
        <v>0</v>
      </c>
      <c r="AA6" s="702">
        <f t="shared" si="8"/>
        <v>0</v>
      </c>
      <c r="AB6" s="702">
        <f t="shared" si="8"/>
        <v>0</v>
      </c>
      <c r="AC6" s="702">
        <f t="shared" si="8"/>
        <v>0</v>
      </c>
      <c r="AD6" s="702">
        <f t="shared" si="8"/>
        <v>0</v>
      </c>
    </row>
    <row r="7" spans="1:30" s="150" customFormat="1" ht="37.700000000000003" customHeight="1">
      <c r="A7" s="148" t="s">
        <v>399</v>
      </c>
      <c r="B7" s="708">
        <f t="shared" si="0"/>
        <v>5197</v>
      </c>
      <c r="C7" s="708">
        <f t="shared" si="1"/>
        <v>4467</v>
      </c>
      <c r="D7" s="752">
        <f t="shared" si="2"/>
        <v>296</v>
      </c>
      <c r="E7" s="752">
        <f t="shared" si="2"/>
        <v>4153</v>
      </c>
      <c r="F7" s="752">
        <f t="shared" si="2"/>
        <v>18</v>
      </c>
      <c r="G7" s="752">
        <f t="shared" si="2"/>
        <v>5</v>
      </c>
      <c r="H7" s="708">
        <f t="shared" si="3"/>
        <v>149</v>
      </c>
      <c r="I7" s="708">
        <f t="shared" si="4"/>
        <v>135</v>
      </c>
      <c r="J7" s="752">
        <f t="shared" si="5"/>
        <v>37</v>
      </c>
      <c r="K7" s="752">
        <f t="shared" si="5"/>
        <v>98</v>
      </c>
      <c r="L7" s="708">
        <f t="shared" si="6"/>
        <v>14</v>
      </c>
      <c r="M7" s="752">
        <f t="shared" si="7"/>
        <v>1</v>
      </c>
      <c r="N7" s="752">
        <f t="shared" si="7"/>
        <v>13</v>
      </c>
      <c r="O7" s="752">
        <f t="shared" si="7"/>
        <v>576</v>
      </c>
    </row>
    <row r="8" spans="1:30" s="150" customFormat="1" ht="37.700000000000003" customHeight="1">
      <c r="A8" s="148" t="s">
        <v>401</v>
      </c>
      <c r="B8" s="708">
        <f t="shared" si="0"/>
        <v>3238</v>
      </c>
      <c r="C8" s="708">
        <f t="shared" si="1"/>
        <v>2821</v>
      </c>
      <c r="D8" s="752">
        <f t="shared" si="2"/>
        <v>96</v>
      </c>
      <c r="E8" s="752">
        <f t="shared" si="2"/>
        <v>2698</v>
      </c>
      <c r="F8" s="752">
        <f t="shared" si="2"/>
        <v>27</v>
      </c>
      <c r="G8" s="752">
        <f t="shared" si="2"/>
        <v>4</v>
      </c>
      <c r="H8" s="708">
        <f t="shared" si="3"/>
        <v>60</v>
      </c>
      <c r="I8" s="708">
        <f t="shared" si="4"/>
        <v>59</v>
      </c>
      <c r="J8" s="752">
        <f t="shared" si="5"/>
        <v>21</v>
      </c>
      <c r="K8" s="752">
        <f t="shared" si="5"/>
        <v>38</v>
      </c>
      <c r="L8" s="708">
        <f t="shared" si="6"/>
        <v>1</v>
      </c>
      <c r="M8" s="752">
        <f t="shared" si="7"/>
        <v>0</v>
      </c>
      <c r="N8" s="752">
        <f t="shared" si="7"/>
        <v>1</v>
      </c>
      <c r="O8" s="752">
        <f t="shared" si="7"/>
        <v>353</v>
      </c>
    </row>
    <row r="9" spans="1:30" s="753" customFormat="1" ht="37.700000000000003" customHeight="1">
      <c r="A9" s="148" t="s">
        <v>50</v>
      </c>
      <c r="B9" s="708">
        <f t="shared" si="0"/>
        <v>3472</v>
      </c>
      <c r="C9" s="708">
        <f t="shared" si="1"/>
        <v>3086</v>
      </c>
      <c r="D9" s="708">
        <f>SUM(D10:D11)</f>
        <v>136</v>
      </c>
      <c r="E9" s="708">
        <f>SUM(E10:E11)</f>
        <v>2931</v>
      </c>
      <c r="F9" s="708">
        <f>SUM(F10:F11)</f>
        <v>19</v>
      </c>
      <c r="G9" s="708">
        <f>SUM(G10:G11)</f>
        <v>3</v>
      </c>
      <c r="H9" s="708">
        <f t="shared" si="3"/>
        <v>73</v>
      </c>
      <c r="I9" s="708">
        <f t="shared" si="4"/>
        <v>69</v>
      </c>
      <c r="J9" s="708">
        <f>SUM(J10:J11)</f>
        <v>25</v>
      </c>
      <c r="K9" s="708">
        <f>SUM(K10:K11)</f>
        <v>44</v>
      </c>
      <c r="L9" s="708">
        <f t="shared" si="6"/>
        <v>4</v>
      </c>
      <c r="M9" s="708">
        <f>SUM(M10:M11)</f>
        <v>1</v>
      </c>
      <c r="N9" s="708">
        <f>SUM(N10:N11)</f>
        <v>3</v>
      </c>
      <c r="O9" s="708">
        <f>SUM(O10:O11)</f>
        <v>310</v>
      </c>
      <c r="Q9" s="702">
        <f>SUM(B10:B11)-B9</f>
        <v>0</v>
      </c>
      <c r="R9" s="702">
        <f t="shared" ref="R9" si="9">SUM(C10:C11)-C9</f>
        <v>0</v>
      </c>
      <c r="S9" s="702">
        <f t="shared" ref="S9" si="10">SUM(D10:D11)-D9</f>
        <v>0</v>
      </c>
      <c r="T9" s="702">
        <f t="shared" ref="T9" si="11">SUM(E10:E11)-E9</f>
        <v>0</v>
      </c>
      <c r="U9" s="702">
        <f t="shared" ref="U9" si="12">SUM(F10:F11)-F9</f>
        <v>0</v>
      </c>
      <c r="V9" s="702">
        <f t="shared" ref="V9" si="13">SUM(G10:G11)-G9</f>
        <v>0</v>
      </c>
      <c r="W9" s="702">
        <f t="shared" ref="W9" si="14">SUM(H10:H11)-H9</f>
        <v>0</v>
      </c>
      <c r="X9" s="702">
        <f t="shared" ref="X9" si="15">SUM(I10:I11)-I9</f>
        <v>0</v>
      </c>
      <c r="Y9" s="702">
        <f t="shared" ref="Y9" si="16">SUM(J10:J11)-J9</f>
        <v>0</v>
      </c>
      <c r="Z9" s="702">
        <f t="shared" ref="Z9" si="17">SUM(K10:K11)-K9</f>
        <v>0</v>
      </c>
      <c r="AA9" s="702">
        <f t="shared" ref="AA9" si="18">SUM(L10:L11)-L9</f>
        <v>0</v>
      </c>
      <c r="AB9" s="702">
        <f t="shared" ref="AB9" si="19">SUM(M10:M11)-M9</f>
        <v>0</v>
      </c>
      <c r="AC9" s="702">
        <f t="shared" ref="AC9" si="20">SUM(N10:N11)-N9</f>
        <v>0</v>
      </c>
      <c r="AD9" s="702">
        <f t="shared" ref="AD9" si="21">SUM(O10:O11)-O9</f>
        <v>0</v>
      </c>
    </row>
    <row r="10" spans="1:30" s="150" customFormat="1" ht="37.700000000000003" customHeight="1">
      <c r="A10" s="148" t="s">
        <v>399</v>
      </c>
      <c r="B10" s="708">
        <f t="shared" si="0"/>
        <v>2112</v>
      </c>
      <c r="C10" s="752">
        <f t="shared" si="1"/>
        <v>1893</v>
      </c>
      <c r="D10" s="752">
        <v>101</v>
      </c>
      <c r="E10" s="752">
        <v>1784</v>
      </c>
      <c r="F10" s="752">
        <v>8</v>
      </c>
      <c r="G10" s="752">
        <v>2</v>
      </c>
      <c r="H10" s="752">
        <f t="shared" si="3"/>
        <v>47</v>
      </c>
      <c r="I10" s="752">
        <f t="shared" si="4"/>
        <v>43</v>
      </c>
      <c r="J10" s="752">
        <v>12</v>
      </c>
      <c r="K10" s="752">
        <v>31</v>
      </c>
      <c r="L10" s="708">
        <f t="shared" si="6"/>
        <v>4</v>
      </c>
      <c r="M10" s="752">
        <v>1</v>
      </c>
      <c r="N10" s="752">
        <v>3</v>
      </c>
      <c r="O10" s="752">
        <v>170</v>
      </c>
    </row>
    <row r="11" spans="1:30" s="150" customFormat="1" ht="37.700000000000003" customHeight="1">
      <c r="A11" s="148" t="s">
        <v>401</v>
      </c>
      <c r="B11" s="708">
        <f t="shared" si="0"/>
        <v>1360</v>
      </c>
      <c r="C11" s="752">
        <f t="shared" si="1"/>
        <v>1193</v>
      </c>
      <c r="D11" s="752">
        <v>35</v>
      </c>
      <c r="E11" s="752">
        <v>1147</v>
      </c>
      <c r="F11" s="752">
        <v>11</v>
      </c>
      <c r="G11" s="752">
        <v>1</v>
      </c>
      <c r="H11" s="752">
        <f t="shared" si="3"/>
        <v>26</v>
      </c>
      <c r="I11" s="752">
        <f t="shared" si="4"/>
        <v>26</v>
      </c>
      <c r="J11" s="752">
        <v>13</v>
      </c>
      <c r="K11" s="752">
        <v>13</v>
      </c>
      <c r="L11" s="708">
        <f t="shared" si="6"/>
        <v>0</v>
      </c>
      <c r="M11" s="752">
        <v>0</v>
      </c>
      <c r="N11" s="752">
        <v>0</v>
      </c>
      <c r="O11" s="752">
        <v>140</v>
      </c>
    </row>
    <row r="12" spans="1:30" s="753" customFormat="1" ht="37.700000000000003" customHeight="1">
      <c r="A12" s="754" t="s">
        <v>72</v>
      </c>
      <c r="B12" s="708">
        <f>C12+G12+H12+O12</f>
        <v>2374</v>
      </c>
      <c r="C12" s="708">
        <f t="shared" si="1"/>
        <v>1982</v>
      </c>
      <c r="D12" s="708">
        <f>SUM(D13:D14)</f>
        <v>130</v>
      </c>
      <c r="E12" s="708">
        <f>SUM(E13:E14)</f>
        <v>1835</v>
      </c>
      <c r="F12" s="708">
        <f>SUM(F13:F14)</f>
        <v>17</v>
      </c>
      <c r="G12" s="708">
        <f>SUM(G13:G14)</f>
        <v>4</v>
      </c>
      <c r="H12" s="708">
        <f t="shared" si="3"/>
        <v>68</v>
      </c>
      <c r="I12" s="708">
        <f t="shared" si="4"/>
        <v>62</v>
      </c>
      <c r="J12" s="708">
        <f>SUM(J13:J14)</f>
        <v>12</v>
      </c>
      <c r="K12" s="708">
        <f>SUM(K13:K14)</f>
        <v>50</v>
      </c>
      <c r="L12" s="708">
        <f t="shared" si="6"/>
        <v>6</v>
      </c>
      <c r="M12" s="708">
        <f>SUM(M13:M14)</f>
        <v>0</v>
      </c>
      <c r="N12" s="708">
        <f>SUM(N13:N14)</f>
        <v>6</v>
      </c>
      <c r="O12" s="708">
        <f>SUM(O13:O14)</f>
        <v>320</v>
      </c>
      <c r="Q12" s="702">
        <f>SUM(B13:B14)-B12</f>
        <v>0</v>
      </c>
      <c r="R12" s="702">
        <f t="shared" ref="R12" si="22">SUM(C13:C14)-C12</f>
        <v>0</v>
      </c>
      <c r="S12" s="702">
        <f t="shared" ref="S12" si="23">SUM(D13:D14)-D12</f>
        <v>0</v>
      </c>
      <c r="T12" s="702">
        <f t="shared" ref="T12" si="24">SUM(E13:E14)-E12</f>
        <v>0</v>
      </c>
      <c r="U12" s="702">
        <f t="shared" ref="U12" si="25">SUM(F13:F14)-F12</f>
        <v>0</v>
      </c>
      <c r="V12" s="702">
        <f t="shared" ref="V12" si="26">SUM(G13:G14)-G12</f>
        <v>0</v>
      </c>
      <c r="W12" s="702">
        <f t="shared" ref="W12" si="27">SUM(H13:H14)-H12</f>
        <v>0</v>
      </c>
      <c r="X12" s="702">
        <f t="shared" ref="X12" si="28">SUM(I13:I14)-I12</f>
        <v>0</v>
      </c>
      <c r="Y12" s="702">
        <f t="shared" ref="Y12" si="29">SUM(J13:J14)-J12</f>
        <v>0</v>
      </c>
      <c r="Z12" s="702">
        <f t="shared" ref="Z12" si="30">SUM(K13:K14)-K12</f>
        <v>0</v>
      </c>
      <c r="AA12" s="702">
        <f t="shared" ref="AA12" si="31">SUM(L13:L14)-L12</f>
        <v>0</v>
      </c>
      <c r="AB12" s="702">
        <f t="shared" ref="AB12" si="32">SUM(M13:M14)-M12</f>
        <v>0</v>
      </c>
      <c r="AC12" s="702">
        <f t="shared" ref="AC12" si="33">SUM(N13:N14)-N12</f>
        <v>0</v>
      </c>
      <c r="AD12" s="702">
        <f t="shared" ref="AD12" si="34">SUM(O13:O14)-O12</f>
        <v>0</v>
      </c>
    </row>
    <row r="13" spans="1:30" s="150" customFormat="1" ht="37.700000000000003" customHeight="1">
      <c r="A13" s="148" t="s">
        <v>399</v>
      </c>
      <c r="B13" s="708">
        <f t="shared" si="0"/>
        <v>1391</v>
      </c>
      <c r="C13" s="752">
        <f t="shared" si="1"/>
        <v>1125</v>
      </c>
      <c r="D13" s="752">
        <v>99</v>
      </c>
      <c r="E13" s="752">
        <v>1021</v>
      </c>
      <c r="F13" s="752">
        <v>5</v>
      </c>
      <c r="G13" s="752">
        <v>1</v>
      </c>
      <c r="H13" s="752">
        <f t="shared" si="3"/>
        <v>50</v>
      </c>
      <c r="I13" s="752">
        <f t="shared" si="4"/>
        <v>45</v>
      </c>
      <c r="J13" s="752">
        <v>8</v>
      </c>
      <c r="K13" s="752">
        <v>37</v>
      </c>
      <c r="L13" s="708">
        <f t="shared" si="6"/>
        <v>5</v>
      </c>
      <c r="M13" s="752">
        <v>0</v>
      </c>
      <c r="N13" s="752">
        <v>5</v>
      </c>
      <c r="O13" s="708">
        <v>215</v>
      </c>
    </row>
    <row r="14" spans="1:30" s="150" customFormat="1" ht="37.700000000000003" customHeight="1">
      <c r="A14" s="148" t="s">
        <v>401</v>
      </c>
      <c r="B14" s="708">
        <f t="shared" si="0"/>
        <v>983</v>
      </c>
      <c r="C14" s="752">
        <f t="shared" si="1"/>
        <v>857</v>
      </c>
      <c r="D14" s="752">
        <v>31</v>
      </c>
      <c r="E14" s="752">
        <v>814</v>
      </c>
      <c r="F14" s="752">
        <v>12</v>
      </c>
      <c r="G14" s="752">
        <v>3</v>
      </c>
      <c r="H14" s="752">
        <f t="shared" si="3"/>
        <v>18</v>
      </c>
      <c r="I14" s="752">
        <f t="shared" ref="I14:I23" si="35">SUM(J14:K14)</f>
        <v>17</v>
      </c>
      <c r="J14" s="752">
        <v>4</v>
      </c>
      <c r="K14" s="752">
        <v>13</v>
      </c>
      <c r="L14" s="708">
        <f t="shared" si="6"/>
        <v>1</v>
      </c>
      <c r="M14" s="752">
        <v>0</v>
      </c>
      <c r="N14" s="752">
        <v>1</v>
      </c>
      <c r="O14" s="708">
        <v>105</v>
      </c>
    </row>
    <row r="15" spans="1:30" s="753" customFormat="1" ht="37.700000000000003" customHeight="1">
      <c r="A15" s="148" t="s">
        <v>51</v>
      </c>
      <c r="B15" s="708">
        <f>C15+G15+H15+O15</f>
        <v>1279</v>
      </c>
      <c r="C15" s="708">
        <f t="shared" si="1"/>
        <v>1117</v>
      </c>
      <c r="D15" s="708">
        <f>SUM(D16:D17)</f>
        <v>88</v>
      </c>
      <c r="E15" s="708">
        <f>SUM(E16:E17)</f>
        <v>1021</v>
      </c>
      <c r="F15" s="708">
        <f>SUM(F16:F17)</f>
        <v>8</v>
      </c>
      <c r="G15" s="708">
        <f>SUM(G16:G17)</f>
        <v>2</v>
      </c>
      <c r="H15" s="708">
        <f t="shared" si="3"/>
        <v>42</v>
      </c>
      <c r="I15" s="708">
        <f t="shared" si="35"/>
        <v>39</v>
      </c>
      <c r="J15" s="708">
        <f>SUM(J16:J17)</f>
        <v>10</v>
      </c>
      <c r="K15" s="708">
        <f>SUM(K16:K17)</f>
        <v>29</v>
      </c>
      <c r="L15" s="708">
        <f t="shared" si="6"/>
        <v>3</v>
      </c>
      <c r="M15" s="708">
        <f>SUM(M16:M17)</f>
        <v>0</v>
      </c>
      <c r="N15" s="708">
        <f>SUM(N16:N17)</f>
        <v>3</v>
      </c>
      <c r="O15" s="708">
        <f>SUM(O16:O17)</f>
        <v>118</v>
      </c>
      <c r="Q15" s="702">
        <f>SUM(B16:B17)-B15</f>
        <v>0</v>
      </c>
      <c r="R15" s="702">
        <f t="shared" ref="R15" si="36">SUM(C16:C17)-C15</f>
        <v>0</v>
      </c>
      <c r="S15" s="702">
        <f t="shared" ref="S15" si="37">SUM(D16:D17)-D15</f>
        <v>0</v>
      </c>
      <c r="T15" s="702">
        <f t="shared" ref="T15" si="38">SUM(E16:E17)-E15</f>
        <v>0</v>
      </c>
      <c r="U15" s="702">
        <f t="shared" ref="U15" si="39">SUM(F16:F17)-F15</f>
        <v>0</v>
      </c>
      <c r="V15" s="702">
        <f t="shared" ref="V15" si="40">SUM(G16:G17)-G15</f>
        <v>0</v>
      </c>
      <c r="W15" s="702">
        <f t="shared" ref="W15" si="41">SUM(H16:H17)-H15</f>
        <v>0</v>
      </c>
      <c r="X15" s="702">
        <f t="shared" ref="X15" si="42">SUM(I16:I17)-I15</f>
        <v>0</v>
      </c>
      <c r="Y15" s="702">
        <f t="shared" ref="Y15" si="43">SUM(J16:J17)-J15</f>
        <v>0</v>
      </c>
      <c r="Z15" s="702">
        <f t="shared" ref="Z15" si="44">SUM(K16:K17)-K15</f>
        <v>0</v>
      </c>
      <c r="AA15" s="702">
        <f t="shared" ref="AA15" si="45">SUM(L16:L17)-L15</f>
        <v>0</v>
      </c>
      <c r="AB15" s="702">
        <f t="shared" ref="AB15" si="46">SUM(M16:M17)-M15</f>
        <v>0</v>
      </c>
      <c r="AC15" s="702">
        <f t="shared" ref="AC15" si="47">SUM(N16:N17)-N15</f>
        <v>0</v>
      </c>
      <c r="AD15" s="702">
        <f t="shared" ref="AD15" si="48">SUM(O16:O17)-O15</f>
        <v>0</v>
      </c>
    </row>
    <row r="16" spans="1:30" s="150" customFormat="1" ht="37.700000000000003" customHeight="1">
      <c r="A16" s="148" t="s">
        <v>399</v>
      </c>
      <c r="B16" s="708">
        <f t="shared" si="0"/>
        <v>876</v>
      </c>
      <c r="C16" s="752">
        <f t="shared" si="1"/>
        <v>765</v>
      </c>
      <c r="D16" s="752">
        <v>77</v>
      </c>
      <c r="E16" s="752">
        <v>683</v>
      </c>
      <c r="F16" s="752">
        <v>5</v>
      </c>
      <c r="G16" s="752">
        <v>2</v>
      </c>
      <c r="H16" s="752">
        <f t="shared" si="3"/>
        <v>32</v>
      </c>
      <c r="I16" s="752">
        <f t="shared" si="35"/>
        <v>29</v>
      </c>
      <c r="J16" s="752">
        <v>9</v>
      </c>
      <c r="K16" s="752">
        <v>20</v>
      </c>
      <c r="L16" s="708">
        <f t="shared" si="6"/>
        <v>3</v>
      </c>
      <c r="M16" s="752">
        <v>0</v>
      </c>
      <c r="N16" s="752">
        <v>3</v>
      </c>
      <c r="O16" s="752">
        <v>77</v>
      </c>
    </row>
    <row r="17" spans="1:30" s="150" customFormat="1" ht="37.700000000000003" customHeight="1">
      <c r="A17" s="148" t="s">
        <v>401</v>
      </c>
      <c r="B17" s="708">
        <f t="shared" si="0"/>
        <v>403</v>
      </c>
      <c r="C17" s="752">
        <f t="shared" si="1"/>
        <v>352</v>
      </c>
      <c r="D17" s="752">
        <v>11</v>
      </c>
      <c r="E17" s="752">
        <v>338</v>
      </c>
      <c r="F17" s="752">
        <v>3</v>
      </c>
      <c r="G17" s="752">
        <v>0</v>
      </c>
      <c r="H17" s="752">
        <f t="shared" si="3"/>
        <v>10</v>
      </c>
      <c r="I17" s="752">
        <f t="shared" si="35"/>
        <v>10</v>
      </c>
      <c r="J17" s="752">
        <v>1</v>
      </c>
      <c r="K17" s="752">
        <v>9</v>
      </c>
      <c r="L17" s="708">
        <f t="shared" si="6"/>
        <v>0</v>
      </c>
      <c r="M17" s="752">
        <v>0</v>
      </c>
      <c r="N17" s="752">
        <v>0</v>
      </c>
      <c r="O17" s="752">
        <v>41</v>
      </c>
    </row>
    <row r="18" spans="1:30" s="753" customFormat="1" ht="37.700000000000003" customHeight="1">
      <c r="A18" s="754" t="s">
        <v>52</v>
      </c>
      <c r="B18" s="708">
        <f>C18+G18+H18+O18</f>
        <v>446</v>
      </c>
      <c r="C18" s="708">
        <f t="shared" si="1"/>
        <v>330</v>
      </c>
      <c r="D18" s="708">
        <f>SUM(D19:D20)</f>
        <v>15</v>
      </c>
      <c r="E18" s="708">
        <f>SUM(E19:E20)</f>
        <v>315</v>
      </c>
      <c r="F18" s="708">
        <f>SUM(F19:F20)</f>
        <v>0</v>
      </c>
      <c r="G18" s="708">
        <f>SUM(G19:G20)</f>
        <v>0</v>
      </c>
      <c r="H18" s="708">
        <f t="shared" si="3"/>
        <v>14</v>
      </c>
      <c r="I18" s="708">
        <f t="shared" si="35"/>
        <v>13</v>
      </c>
      <c r="J18" s="708">
        <f>SUM(J19:J20)</f>
        <v>4</v>
      </c>
      <c r="K18" s="708">
        <f>SUM(K19:K20)</f>
        <v>9</v>
      </c>
      <c r="L18" s="708">
        <f t="shared" si="6"/>
        <v>1</v>
      </c>
      <c r="M18" s="708">
        <f>SUM(M19:M20)</f>
        <v>0</v>
      </c>
      <c r="N18" s="708">
        <f>SUM(N19:N20)</f>
        <v>1</v>
      </c>
      <c r="O18" s="708">
        <f>SUM(O19:O20)</f>
        <v>102</v>
      </c>
      <c r="Q18" s="702">
        <f>SUM(B19:B20)-B18</f>
        <v>0</v>
      </c>
      <c r="R18" s="702">
        <f t="shared" ref="R18" si="49">SUM(C19:C20)-C18</f>
        <v>0</v>
      </c>
      <c r="S18" s="702">
        <f t="shared" ref="S18" si="50">SUM(D19:D20)-D18</f>
        <v>0</v>
      </c>
      <c r="T18" s="702">
        <f t="shared" ref="T18" si="51">SUM(E19:E20)-E18</f>
        <v>0</v>
      </c>
      <c r="U18" s="702">
        <f t="shared" ref="U18" si="52">SUM(F19:F20)-F18</f>
        <v>0</v>
      </c>
      <c r="V18" s="702">
        <f t="shared" ref="V18" si="53">SUM(G19:G20)-G18</f>
        <v>0</v>
      </c>
      <c r="W18" s="702">
        <f t="shared" ref="W18" si="54">SUM(H19:H20)-H18</f>
        <v>0</v>
      </c>
      <c r="X18" s="702">
        <f t="shared" ref="X18" si="55">SUM(I19:I20)-I18</f>
        <v>0</v>
      </c>
      <c r="Y18" s="702">
        <f t="shared" ref="Y18" si="56">SUM(J19:J20)-J18</f>
        <v>0</v>
      </c>
      <c r="Z18" s="702">
        <f t="shared" ref="Z18" si="57">SUM(K19:K20)-K18</f>
        <v>0</v>
      </c>
      <c r="AA18" s="702">
        <f t="shared" ref="AA18" si="58">SUM(L19:L20)-L18</f>
        <v>0</v>
      </c>
      <c r="AB18" s="702">
        <f t="shared" ref="AB18" si="59">SUM(M19:M20)-M18</f>
        <v>0</v>
      </c>
      <c r="AC18" s="702">
        <f t="shared" ref="AC18" si="60">SUM(N19:N20)-N18</f>
        <v>0</v>
      </c>
      <c r="AD18" s="702">
        <f t="shared" ref="AD18" si="61">SUM(O19:O20)-O18</f>
        <v>0</v>
      </c>
    </row>
    <row r="19" spans="1:30" s="150" customFormat="1" ht="37.700000000000003" customHeight="1">
      <c r="A19" s="148" t="s">
        <v>399</v>
      </c>
      <c r="B19" s="708">
        <f t="shared" si="0"/>
        <v>229</v>
      </c>
      <c r="C19" s="752">
        <f t="shared" si="1"/>
        <v>155</v>
      </c>
      <c r="D19" s="752">
        <v>10</v>
      </c>
      <c r="E19" s="752">
        <v>145</v>
      </c>
      <c r="F19" s="752">
        <v>0</v>
      </c>
      <c r="G19" s="752">
        <v>0</v>
      </c>
      <c r="H19" s="752">
        <f t="shared" si="3"/>
        <v>8</v>
      </c>
      <c r="I19" s="752">
        <f t="shared" si="35"/>
        <v>7</v>
      </c>
      <c r="J19" s="752">
        <v>1</v>
      </c>
      <c r="K19" s="752">
        <v>6</v>
      </c>
      <c r="L19" s="708">
        <f t="shared" si="6"/>
        <v>1</v>
      </c>
      <c r="M19" s="752">
        <v>0</v>
      </c>
      <c r="N19" s="752">
        <v>1</v>
      </c>
      <c r="O19" s="752">
        <v>66</v>
      </c>
    </row>
    <row r="20" spans="1:30" s="150" customFormat="1" ht="37.700000000000003" customHeight="1">
      <c r="A20" s="148" t="s">
        <v>401</v>
      </c>
      <c r="B20" s="708">
        <f t="shared" si="0"/>
        <v>217</v>
      </c>
      <c r="C20" s="752">
        <f t="shared" si="1"/>
        <v>175</v>
      </c>
      <c r="D20" s="752">
        <v>5</v>
      </c>
      <c r="E20" s="752">
        <v>170</v>
      </c>
      <c r="F20" s="752">
        <v>0</v>
      </c>
      <c r="G20" s="752">
        <v>0</v>
      </c>
      <c r="H20" s="752">
        <f t="shared" si="3"/>
        <v>6</v>
      </c>
      <c r="I20" s="752">
        <f t="shared" si="35"/>
        <v>6</v>
      </c>
      <c r="J20" s="752">
        <v>3</v>
      </c>
      <c r="K20" s="752">
        <v>3</v>
      </c>
      <c r="L20" s="708">
        <f t="shared" si="6"/>
        <v>0</v>
      </c>
      <c r="M20" s="752">
        <v>0</v>
      </c>
      <c r="N20" s="752">
        <v>0</v>
      </c>
      <c r="O20" s="752">
        <v>36</v>
      </c>
    </row>
    <row r="21" spans="1:30" s="755" customFormat="1" ht="37.700000000000003" customHeight="1">
      <c r="A21" s="754" t="s">
        <v>57</v>
      </c>
      <c r="B21" s="708">
        <f>C21+G21+H21+O21</f>
        <v>864</v>
      </c>
      <c r="C21" s="708">
        <f t="shared" si="1"/>
        <v>773</v>
      </c>
      <c r="D21" s="708">
        <f>SUM(D22:D23)</f>
        <v>23</v>
      </c>
      <c r="E21" s="708">
        <f>SUM(E22:E23)</f>
        <v>749</v>
      </c>
      <c r="F21" s="708">
        <f>SUM(F22:F23)</f>
        <v>1</v>
      </c>
      <c r="G21" s="708">
        <f>SUM(G22:G23)</f>
        <v>0</v>
      </c>
      <c r="H21" s="708">
        <f t="shared" si="3"/>
        <v>12</v>
      </c>
      <c r="I21" s="708">
        <f t="shared" si="35"/>
        <v>11</v>
      </c>
      <c r="J21" s="708">
        <f>SUM(J22:J23)</f>
        <v>7</v>
      </c>
      <c r="K21" s="708">
        <f>SUM(K22:K23)</f>
        <v>4</v>
      </c>
      <c r="L21" s="708">
        <f t="shared" si="6"/>
        <v>1</v>
      </c>
      <c r="M21" s="708">
        <f>SUM(M22:M23)</f>
        <v>0</v>
      </c>
      <c r="N21" s="708">
        <f>SUM(N22:N23)</f>
        <v>1</v>
      </c>
      <c r="O21" s="708">
        <f>SUM(O22:O23)</f>
        <v>79</v>
      </c>
      <c r="Q21" s="702">
        <f>SUM(B22:B23)-B21</f>
        <v>0</v>
      </c>
      <c r="R21" s="702">
        <f t="shared" ref="R21" si="62">SUM(C22:C23)-C21</f>
        <v>0</v>
      </c>
      <c r="S21" s="702">
        <f t="shared" ref="S21" si="63">SUM(D22:D23)-D21</f>
        <v>0</v>
      </c>
      <c r="T21" s="702">
        <f t="shared" ref="T21" si="64">SUM(E22:E23)-E21</f>
        <v>0</v>
      </c>
      <c r="U21" s="702">
        <f t="shared" ref="U21" si="65">SUM(F22:F23)-F21</f>
        <v>0</v>
      </c>
      <c r="V21" s="702">
        <f t="shared" ref="V21" si="66">SUM(G22:G23)-G21</f>
        <v>0</v>
      </c>
      <c r="W21" s="702">
        <f t="shared" ref="W21" si="67">SUM(H22:H23)-H21</f>
        <v>0</v>
      </c>
      <c r="X21" s="702">
        <f t="shared" ref="X21" si="68">SUM(I22:I23)-I21</f>
        <v>0</v>
      </c>
      <c r="Y21" s="702">
        <f t="shared" ref="Y21" si="69">SUM(J22:J23)-J21</f>
        <v>0</v>
      </c>
      <c r="Z21" s="702">
        <f t="shared" ref="Z21" si="70">SUM(K22:K23)-K21</f>
        <v>0</v>
      </c>
      <c r="AA21" s="702">
        <f t="shared" ref="AA21" si="71">SUM(L22:L23)-L21</f>
        <v>0</v>
      </c>
      <c r="AB21" s="702">
        <f t="shared" ref="AB21" si="72">SUM(M22:M23)-M21</f>
        <v>0</v>
      </c>
      <c r="AC21" s="702">
        <f t="shared" ref="AC21" si="73">SUM(N22:N23)-N21</f>
        <v>0</v>
      </c>
      <c r="AD21" s="702">
        <f t="shared" ref="AD21" si="74">SUM(O22:O23)-O21</f>
        <v>0</v>
      </c>
    </row>
    <row r="22" spans="1:30" s="150" customFormat="1" ht="37.700000000000003" customHeight="1">
      <c r="A22" s="148" t="s">
        <v>399</v>
      </c>
      <c r="B22" s="708">
        <f t="shared" si="0"/>
        <v>589</v>
      </c>
      <c r="C22" s="752">
        <f t="shared" si="1"/>
        <v>529</v>
      </c>
      <c r="D22" s="752">
        <v>9</v>
      </c>
      <c r="E22" s="752">
        <v>520</v>
      </c>
      <c r="F22" s="752">
        <v>0</v>
      </c>
      <c r="G22" s="752">
        <v>0</v>
      </c>
      <c r="H22" s="708">
        <f t="shared" si="3"/>
        <v>12</v>
      </c>
      <c r="I22" s="708">
        <f t="shared" si="35"/>
        <v>11</v>
      </c>
      <c r="J22" s="752">
        <v>7</v>
      </c>
      <c r="K22" s="752">
        <v>4</v>
      </c>
      <c r="L22" s="708">
        <f t="shared" si="6"/>
        <v>1</v>
      </c>
      <c r="M22" s="752">
        <v>0</v>
      </c>
      <c r="N22" s="752">
        <v>1</v>
      </c>
      <c r="O22" s="752">
        <v>48</v>
      </c>
    </row>
    <row r="23" spans="1:30" s="150" customFormat="1" ht="37.700000000000003" customHeight="1">
      <c r="A23" s="148" t="s">
        <v>401</v>
      </c>
      <c r="B23" s="708">
        <f t="shared" si="0"/>
        <v>275</v>
      </c>
      <c r="C23" s="752">
        <f t="shared" si="1"/>
        <v>244</v>
      </c>
      <c r="D23" s="752">
        <v>14</v>
      </c>
      <c r="E23" s="752">
        <v>229</v>
      </c>
      <c r="F23" s="752">
        <v>1</v>
      </c>
      <c r="G23" s="752">
        <v>0</v>
      </c>
      <c r="H23" s="752">
        <f t="shared" si="3"/>
        <v>0</v>
      </c>
      <c r="I23" s="752">
        <f t="shared" si="35"/>
        <v>0</v>
      </c>
      <c r="J23" s="752">
        <v>0</v>
      </c>
      <c r="K23" s="752">
        <v>0</v>
      </c>
      <c r="L23" s="708">
        <f t="shared" si="6"/>
        <v>0</v>
      </c>
      <c r="M23" s="752">
        <v>0</v>
      </c>
      <c r="N23" s="752">
        <v>0</v>
      </c>
      <c r="O23" s="752">
        <v>31</v>
      </c>
    </row>
    <row r="24" spans="1:30" s="680" customFormat="1" ht="16.5">
      <c r="A24" s="838" t="s">
        <v>1029</v>
      </c>
      <c r="B24" s="838"/>
      <c r="C24" s="838"/>
      <c r="D24" s="838"/>
      <c r="E24" s="838"/>
      <c r="F24" s="838"/>
      <c r="G24" s="838"/>
      <c r="H24" s="838"/>
      <c r="I24" s="838"/>
      <c r="J24" s="838"/>
      <c r="K24" s="838"/>
      <c r="L24" s="838"/>
      <c r="M24" s="838"/>
      <c r="N24" s="838"/>
      <c r="O24" s="838"/>
    </row>
    <row r="25" spans="1:30" ht="21.2" customHeight="1">
      <c r="A25" s="756" t="s">
        <v>1027</v>
      </c>
      <c r="B25" s="757">
        <f>B6-'[3]11當年退離(公)-性別'!B6</f>
        <v>0</v>
      </c>
      <c r="C25" s="757">
        <f>C6-'[3]11當年退離(公)-性別'!C6</f>
        <v>0</v>
      </c>
      <c r="D25" s="757">
        <f>D6-'[3]11當年退離(公)-性別'!D6</f>
        <v>0</v>
      </c>
      <c r="E25" s="757">
        <f>E6-'[3]11當年退離(公)-性別'!E6</f>
        <v>0</v>
      </c>
      <c r="F25" s="757">
        <f>F6-'[3]11當年退離(公)-性別'!F6</f>
        <v>0</v>
      </c>
      <c r="G25" s="757">
        <f>G6-'[3]11當年退離(公)-性別'!G6</f>
        <v>0</v>
      </c>
      <c r="H25" s="757">
        <f>H6-'[3]11當年退離(公)-性別'!H6</f>
        <v>0</v>
      </c>
      <c r="I25" s="757">
        <f>I6-'[3]11當年退離(公)-性別'!I6</f>
        <v>0</v>
      </c>
      <c r="J25" s="757">
        <f>J6-'[3]11當年退離(公)-性別'!J6</f>
        <v>0</v>
      </c>
      <c r="K25" s="757">
        <f>K6-'[3]11當年退離(公)-性別'!K6</f>
        <v>0</v>
      </c>
      <c r="L25" s="757">
        <f>L6-'[3]11當年退離(公)-性別'!L6</f>
        <v>0</v>
      </c>
      <c r="M25" s="757">
        <f>M6-'[3]11當年退離(公)-性別'!M6</f>
        <v>0</v>
      </c>
      <c r="N25" s="757">
        <f>N6-'[3]11當年退離(公)-性別'!N6</f>
        <v>0</v>
      </c>
      <c r="O25" s="757">
        <f>O6-'[3]11當年退離(公)-性別'!O6</f>
        <v>0</v>
      </c>
    </row>
    <row r="26" spans="1:30" ht="21.2" customHeight="1">
      <c r="A26" s="40"/>
      <c r="B26" s="757">
        <f>B7-'[3]11當年退離(公)-性別'!B7</f>
        <v>0</v>
      </c>
      <c r="C26" s="757">
        <f>C7-'[3]11當年退離(公)-性別'!C7</f>
        <v>0</v>
      </c>
      <c r="D26" s="757">
        <f>D7-'[3]11當年退離(公)-性別'!D7</f>
        <v>0</v>
      </c>
      <c r="E26" s="757">
        <f>E7-'[3]11當年退離(公)-性別'!E7</f>
        <v>0</v>
      </c>
      <c r="F26" s="757">
        <f>F7-'[3]11當年退離(公)-性別'!F7</f>
        <v>0</v>
      </c>
      <c r="G26" s="757">
        <f>G7-'[3]11當年退離(公)-性別'!G7</f>
        <v>0</v>
      </c>
      <c r="H26" s="757">
        <f>H7-'[3]11當年退離(公)-性別'!H7</f>
        <v>0</v>
      </c>
      <c r="I26" s="757">
        <f>I7-'[3]11當年退離(公)-性別'!I7</f>
        <v>0</v>
      </c>
      <c r="J26" s="757">
        <f>J7-'[3]11當年退離(公)-性別'!J7</f>
        <v>0</v>
      </c>
      <c r="K26" s="757">
        <f>K7-'[3]11當年退離(公)-性別'!K7</f>
        <v>0</v>
      </c>
      <c r="L26" s="757">
        <f>L7-'[3]11當年退離(公)-性別'!L7</f>
        <v>0</v>
      </c>
      <c r="M26" s="757">
        <f>M7-'[3]11當年退離(公)-性別'!M7</f>
        <v>0</v>
      </c>
      <c r="N26" s="757">
        <f>N7-'[3]11當年退離(公)-性別'!N7</f>
        <v>0</v>
      </c>
      <c r="O26" s="757">
        <f>O7-'[3]11當年退離(公)-性別'!O7</f>
        <v>0</v>
      </c>
    </row>
    <row r="27" spans="1:30" ht="20.100000000000001" customHeight="1">
      <c r="A27" s="40"/>
      <c r="B27" s="757">
        <f>B8-'[3]11當年退離(公)-性別'!B8</f>
        <v>0</v>
      </c>
      <c r="C27" s="757">
        <f>C8-'[3]11當年退離(公)-性別'!C8</f>
        <v>0</v>
      </c>
      <c r="D27" s="757">
        <f>D8-'[3]11當年退離(公)-性別'!D8</f>
        <v>0</v>
      </c>
      <c r="E27" s="757">
        <f>E8-'[3]11當年退離(公)-性別'!E8</f>
        <v>0</v>
      </c>
      <c r="F27" s="757">
        <f>F8-'[3]11當年退離(公)-性別'!F8</f>
        <v>0</v>
      </c>
      <c r="G27" s="757">
        <f>G8-'[3]11當年退離(公)-性別'!G8</f>
        <v>0</v>
      </c>
      <c r="H27" s="757">
        <f>H8-'[3]11當年退離(公)-性別'!H8</f>
        <v>0</v>
      </c>
      <c r="I27" s="757">
        <f>I8-'[3]11當年退離(公)-性別'!I8</f>
        <v>0</v>
      </c>
      <c r="J27" s="757">
        <f>J8-'[3]11當年退離(公)-性別'!J8</f>
        <v>0</v>
      </c>
      <c r="K27" s="757">
        <f>K8-'[3]11當年退離(公)-性別'!K8</f>
        <v>0</v>
      </c>
      <c r="L27" s="757">
        <f>L8-'[3]11當年退離(公)-性別'!L8</f>
        <v>0</v>
      </c>
      <c r="M27" s="757">
        <f>M8-'[3]11當年退離(公)-性別'!M8</f>
        <v>0</v>
      </c>
      <c r="N27" s="757">
        <f>N8-'[3]11當年退離(公)-性別'!N8</f>
        <v>0</v>
      </c>
      <c r="O27" s="757">
        <f>O8-'[3]11當年退離(公)-性別'!O8</f>
        <v>0</v>
      </c>
    </row>
    <row r="28" spans="1:30" ht="74.25" customHeight="1">
      <c r="B28" s="757">
        <f>B9-'[3]11當年退離(公)-性別'!B9</f>
        <v>0</v>
      </c>
      <c r="C28" s="757">
        <f>C9-'[3]11當年退離(公)-性別'!C9</f>
        <v>0</v>
      </c>
      <c r="D28" s="757">
        <f>D9-'[3]11當年退離(公)-性別'!D9</f>
        <v>0</v>
      </c>
      <c r="E28" s="757">
        <f>E9-'[3]11當年退離(公)-性別'!E9</f>
        <v>0</v>
      </c>
      <c r="F28" s="757">
        <f>F9-'[3]11當年退離(公)-性別'!F9</f>
        <v>0</v>
      </c>
      <c r="G28" s="757">
        <f>G9-'[3]11當年退離(公)-性別'!G9</f>
        <v>0</v>
      </c>
      <c r="H28" s="757">
        <f>H9-'[3]11當年退離(公)-性別'!H9</f>
        <v>0</v>
      </c>
      <c r="I28" s="757">
        <f>I9-'[3]11當年退離(公)-性別'!I9</f>
        <v>0</v>
      </c>
      <c r="J28" s="757">
        <f>J9-'[3]11當年退離(公)-性別'!J9</f>
        <v>0</v>
      </c>
      <c r="K28" s="757">
        <f>K9-'[3]11當年退離(公)-性別'!K9</f>
        <v>0</v>
      </c>
      <c r="L28" s="757">
        <f>L9-'[3]11當年退離(公)-性別'!L9</f>
        <v>0</v>
      </c>
      <c r="M28" s="757">
        <f>M9-'[3]11當年退離(公)-性別'!M9</f>
        <v>0</v>
      </c>
      <c r="N28" s="757">
        <f>N9-'[3]11當年退離(公)-性別'!N9</f>
        <v>0</v>
      </c>
      <c r="O28" s="757">
        <f>O9-'[3]11當年退離(公)-性別'!O9</f>
        <v>0</v>
      </c>
    </row>
    <row r="29" spans="1:30" ht="74.25" customHeight="1">
      <c r="B29" s="757">
        <f>B10-'[3]11當年退離(公)-性別'!B10</f>
        <v>0</v>
      </c>
      <c r="C29" s="757">
        <f>C10-'[3]11當年退離(公)-性別'!C10</f>
        <v>0</v>
      </c>
      <c r="D29" s="757">
        <f>D10-'[3]11當年退離(公)-性別'!D10</f>
        <v>0</v>
      </c>
      <c r="E29" s="757">
        <f>E10-'[3]11當年退離(公)-性別'!E10</f>
        <v>0</v>
      </c>
      <c r="F29" s="757">
        <f>F10-'[3]11當年退離(公)-性別'!F10</f>
        <v>0</v>
      </c>
      <c r="G29" s="757">
        <f>G10-'[3]11當年退離(公)-性別'!G10</f>
        <v>0</v>
      </c>
      <c r="H29" s="757">
        <f>H10-'[3]11當年退離(公)-性別'!H10</f>
        <v>0</v>
      </c>
      <c r="I29" s="757">
        <f>I10-'[3]11當年退離(公)-性別'!I10</f>
        <v>0</v>
      </c>
      <c r="J29" s="757">
        <f>J10-'[3]11當年退離(公)-性別'!J10</f>
        <v>0</v>
      </c>
      <c r="K29" s="757">
        <f>K10-'[3]11當年退離(公)-性別'!K10</f>
        <v>0</v>
      </c>
      <c r="L29" s="757">
        <f>L10-'[3]11當年退離(公)-性別'!L10</f>
        <v>0</v>
      </c>
      <c r="M29" s="757">
        <f>M10-'[3]11當年退離(公)-性別'!M10</f>
        <v>0</v>
      </c>
      <c r="N29" s="757">
        <f>N10-'[3]11當年退離(公)-性別'!N10</f>
        <v>0</v>
      </c>
      <c r="O29" s="757">
        <f>O10-'[3]11當年退離(公)-性別'!O10</f>
        <v>0</v>
      </c>
    </row>
    <row r="30" spans="1:30" ht="74.25" customHeight="1">
      <c r="B30" s="757">
        <f>B11-'[3]11當年退離(公)-性別'!B11</f>
        <v>0</v>
      </c>
      <c r="C30" s="757">
        <f>C11-'[3]11當年退離(公)-性別'!C11</f>
        <v>0</v>
      </c>
      <c r="D30" s="757">
        <f>D11-'[3]11當年退離(公)-性別'!D11</f>
        <v>0</v>
      </c>
      <c r="E30" s="757">
        <f>E11-'[3]11當年退離(公)-性別'!E11</f>
        <v>0</v>
      </c>
      <c r="F30" s="757">
        <f>F11-'[3]11當年退離(公)-性別'!F11</f>
        <v>0</v>
      </c>
      <c r="G30" s="757">
        <f>G11-'[3]11當年退離(公)-性別'!G11</f>
        <v>0</v>
      </c>
      <c r="H30" s="757">
        <f>H11-'[3]11當年退離(公)-性別'!H11</f>
        <v>0</v>
      </c>
      <c r="I30" s="757">
        <f>I11-'[3]11當年退離(公)-性別'!I11</f>
        <v>0</v>
      </c>
      <c r="J30" s="757">
        <f>J11-'[3]11當年退離(公)-性別'!J11</f>
        <v>0</v>
      </c>
      <c r="K30" s="757">
        <f>K11-'[3]11當年退離(公)-性別'!K11</f>
        <v>0</v>
      </c>
      <c r="L30" s="757">
        <f>L11-'[3]11當年退離(公)-性別'!L11</f>
        <v>0</v>
      </c>
      <c r="M30" s="757">
        <f>M11-'[3]11當年退離(公)-性別'!M11</f>
        <v>0</v>
      </c>
      <c r="N30" s="757">
        <f>N11-'[3]11當年退離(公)-性別'!N11</f>
        <v>0</v>
      </c>
      <c r="O30" s="757">
        <f>O11-'[3]11當年退離(公)-性別'!O11</f>
        <v>0</v>
      </c>
    </row>
    <row r="31" spans="1:30" ht="74.25" customHeight="1">
      <c r="B31" s="757">
        <f>B12-'[3]11當年退離(公)-性別'!B12</f>
        <v>0</v>
      </c>
      <c r="C31" s="757">
        <f>C12-'[3]11當年退離(公)-性別'!C12</f>
        <v>0</v>
      </c>
      <c r="D31" s="757">
        <f>D12-'[3]11當年退離(公)-性別'!D12</f>
        <v>0</v>
      </c>
      <c r="E31" s="757">
        <f>E12-'[3]11當年退離(公)-性別'!E12</f>
        <v>0</v>
      </c>
      <c r="F31" s="757">
        <f>F12-'[3]11當年退離(公)-性別'!F12</f>
        <v>0</v>
      </c>
      <c r="G31" s="757">
        <f>G12-'[3]11當年退離(公)-性別'!G12</f>
        <v>0</v>
      </c>
      <c r="H31" s="757">
        <f>H12-'[3]11當年退離(公)-性別'!H12</f>
        <v>0</v>
      </c>
      <c r="I31" s="757">
        <f>I12-'[3]11當年退離(公)-性別'!I12</f>
        <v>0</v>
      </c>
      <c r="J31" s="757">
        <f>J12-'[3]11當年退離(公)-性別'!J12</f>
        <v>0</v>
      </c>
      <c r="K31" s="757">
        <f>K12-'[3]11當年退離(公)-性別'!K12</f>
        <v>0</v>
      </c>
      <c r="L31" s="757">
        <f>L12-'[3]11當年退離(公)-性別'!L12</f>
        <v>0</v>
      </c>
      <c r="M31" s="757">
        <f>M12-'[3]11當年退離(公)-性別'!M12</f>
        <v>0</v>
      </c>
      <c r="N31" s="757">
        <f>N12-'[3]11當年退離(公)-性別'!N12</f>
        <v>0</v>
      </c>
      <c r="O31" s="757">
        <f>O12-'[3]11當年退離(公)-性別'!O12</f>
        <v>0</v>
      </c>
    </row>
    <row r="32" spans="1:30" ht="74.25" customHeight="1">
      <c r="B32" s="757">
        <f>B13-'[3]11當年退離(公)-性別'!B13</f>
        <v>0</v>
      </c>
      <c r="C32" s="757">
        <f>C13-'[3]11當年退離(公)-性別'!C13</f>
        <v>0</v>
      </c>
      <c r="D32" s="757">
        <f>D13-'[3]11當年退離(公)-性別'!D13</f>
        <v>0</v>
      </c>
      <c r="E32" s="757">
        <f>E13-'[3]11當年退離(公)-性別'!E13</f>
        <v>0</v>
      </c>
      <c r="F32" s="757">
        <f>F13-'[3]11當年退離(公)-性別'!F13</f>
        <v>0</v>
      </c>
      <c r="G32" s="757">
        <f>G13-'[3]11當年退離(公)-性別'!G13</f>
        <v>0</v>
      </c>
      <c r="H32" s="757">
        <f>H13-'[3]11當年退離(公)-性別'!H13</f>
        <v>0</v>
      </c>
      <c r="I32" s="757">
        <f>I13-'[3]11當年退離(公)-性別'!I13</f>
        <v>0</v>
      </c>
      <c r="J32" s="757">
        <f>J13-'[3]11當年退離(公)-性別'!J13</f>
        <v>0</v>
      </c>
      <c r="K32" s="757">
        <f>K13-'[3]11當年退離(公)-性別'!K13</f>
        <v>0</v>
      </c>
      <c r="L32" s="757">
        <f>L13-'[3]11當年退離(公)-性別'!L13</f>
        <v>0</v>
      </c>
      <c r="M32" s="757">
        <f>M13-'[3]11當年退離(公)-性別'!M13</f>
        <v>0</v>
      </c>
      <c r="N32" s="757">
        <f>N13-'[3]11當年退離(公)-性別'!N13</f>
        <v>0</v>
      </c>
      <c r="O32" s="757">
        <f>O13-'[3]11當年退離(公)-性別'!O13</f>
        <v>0</v>
      </c>
    </row>
    <row r="33" spans="2:15" ht="74.25" customHeight="1">
      <c r="B33" s="757">
        <f>B14-'[3]11當年退離(公)-性別'!B14</f>
        <v>0</v>
      </c>
      <c r="C33" s="757">
        <f>C14-'[3]11當年退離(公)-性別'!C14</f>
        <v>0</v>
      </c>
      <c r="D33" s="757">
        <f>D14-'[3]11當年退離(公)-性別'!D14</f>
        <v>0</v>
      </c>
      <c r="E33" s="757">
        <f>E14-'[3]11當年退離(公)-性別'!E14</f>
        <v>0</v>
      </c>
      <c r="F33" s="757">
        <f>F14-'[3]11當年退離(公)-性別'!F14</f>
        <v>0</v>
      </c>
      <c r="G33" s="757">
        <f>G14-'[3]11當年退離(公)-性別'!G14</f>
        <v>0</v>
      </c>
      <c r="H33" s="757">
        <f>H14-'[3]11當年退離(公)-性別'!H14</f>
        <v>0</v>
      </c>
      <c r="I33" s="757">
        <f>I14-'[3]11當年退離(公)-性別'!I14</f>
        <v>0</v>
      </c>
      <c r="J33" s="757">
        <f>J14-'[3]11當年退離(公)-性別'!J14</f>
        <v>0</v>
      </c>
      <c r="K33" s="757">
        <f>K14-'[3]11當年退離(公)-性別'!K14</f>
        <v>0</v>
      </c>
      <c r="L33" s="757">
        <f>L14-'[3]11當年退離(公)-性別'!L14</f>
        <v>0</v>
      </c>
      <c r="M33" s="757">
        <f>M14-'[3]11當年退離(公)-性別'!M14</f>
        <v>0</v>
      </c>
      <c r="N33" s="757">
        <f>N14-'[3]11當年退離(公)-性別'!N14</f>
        <v>0</v>
      </c>
      <c r="O33" s="757">
        <f>O14-'[3]11當年退離(公)-性別'!O14</f>
        <v>0</v>
      </c>
    </row>
    <row r="34" spans="2:15" ht="74.25" customHeight="1">
      <c r="B34" s="757">
        <f>B15-'[3]11當年退離(公)-性別'!B15</f>
        <v>0</v>
      </c>
      <c r="C34" s="757">
        <f>C15-'[3]11當年退離(公)-性別'!C15</f>
        <v>0</v>
      </c>
      <c r="D34" s="757">
        <f>D15-'[3]11當年退離(公)-性別'!D15</f>
        <v>0</v>
      </c>
      <c r="E34" s="757">
        <f>E15-'[3]11當年退離(公)-性別'!E15</f>
        <v>0</v>
      </c>
      <c r="F34" s="757">
        <f>F15-'[3]11當年退離(公)-性別'!F15</f>
        <v>0</v>
      </c>
      <c r="G34" s="757">
        <f>G15-'[3]11當年退離(公)-性別'!G15</f>
        <v>0</v>
      </c>
      <c r="H34" s="757">
        <f>H15-'[3]11當年退離(公)-性別'!H15</f>
        <v>0</v>
      </c>
      <c r="I34" s="757">
        <f>I15-'[3]11當年退離(公)-性別'!I15</f>
        <v>0</v>
      </c>
      <c r="J34" s="757">
        <f>J15-'[3]11當年退離(公)-性別'!J15</f>
        <v>0</v>
      </c>
      <c r="K34" s="757">
        <f>K15-'[3]11當年退離(公)-性別'!K15</f>
        <v>0</v>
      </c>
      <c r="L34" s="757">
        <f>L15-'[3]11當年退離(公)-性別'!L15</f>
        <v>0</v>
      </c>
      <c r="M34" s="757">
        <f>M15-'[3]11當年退離(公)-性別'!M15</f>
        <v>0</v>
      </c>
      <c r="N34" s="757">
        <f>N15-'[3]11當年退離(公)-性別'!N15</f>
        <v>0</v>
      </c>
      <c r="O34" s="757">
        <f>O15-'[3]11當年退離(公)-性別'!O15</f>
        <v>0</v>
      </c>
    </row>
    <row r="35" spans="2:15" ht="74.25" customHeight="1">
      <c r="B35" s="757">
        <f>B16-'[3]11當年退離(公)-性別'!B16</f>
        <v>0</v>
      </c>
      <c r="C35" s="757">
        <f>C16-'[3]11當年退離(公)-性別'!C16</f>
        <v>0</v>
      </c>
      <c r="D35" s="757">
        <f>D16-'[3]11當年退離(公)-性別'!D16</f>
        <v>0</v>
      </c>
      <c r="E35" s="757">
        <f>E16-'[3]11當年退離(公)-性別'!E16</f>
        <v>0</v>
      </c>
      <c r="F35" s="757">
        <f>F16-'[3]11當年退離(公)-性別'!F16</f>
        <v>0</v>
      </c>
      <c r="G35" s="757">
        <f>G16-'[3]11當年退離(公)-性別'!G16</f>
        <v>0</v>
      </c>
      <c r="H35" s="757">
        <f>H16-'[3]11當年退離(公)-性別'!H16</f>
        <v>0</v>
      </c>
      <c r="I35" s="757">
        <f>I16-'[3]11當年退離(公)-性別'!I16</f>
        <v>0</v>
      </c>
      <c r="J35" s="757">
        <f>J16-'[3]11當年退離(公)-性別'!J16</f>
        <v>0</v>
      </c>
      <c r="K35" s="757">
        <f>K16-'[3]11當年退離(公)-性別'!K16</f>
        <v>0</v>
      </c>
      <c r="L35" s="757">
        <f>L16-'[3]11當年退離(公)-性別'!L16</f>
        <v>0</v>
      </c>
      <c r="M35" s="757">
        <f>M16-'[3]11當年退離(公)-性別'!M16</f>
        <v>0</v>
      </c>
      <c r="N35" s="757">
        <f>N16-'[3]11當年退離(公)-性別'!N16</f>
        <v>0</v>
      </c>
      <c r="O35" s="757">
        <f>O16-'[3]11當年退離(公)-性別'!O16</f>
        <v>0</v>
      </c>
    </row>
    <row r="36" spans="2:15" ht="74.25" customHeight="1">
      <c r="B36" s="757">
        <f>B17-'[3]11當年退離(公)-性別'!B17</f>
        <v>0</v>
      </c>
      <c r="C36" s="757">
        <f>C17-'[3]11當年退離(公)-性別'!C17</f>
        <v>0</v>
      </c>
      <c r="D36" s="757">
        <f>D17-'[3]11當年退離(公)-性別'!D17</f>
        <v>0</v>
      </c>
      <c r="E36" s="757">
        <f>E17-'[3]11當年退離(公)-性別'!E17</f>
        <v>0</v>
      </c>
      <c r="F36" s="757">
        <f>F17-'[3]11當年退離(公)-性別'!F17</f>
        <v>0</v>
      </c>
      <c r="G36" s="757">
        <f>G17-'[3]11當年退離(公)-性別'!G17</f>
        <v>0</v>
      </c>
      <c r="H36" s="757">
        <f>H17-'[3]11當年退離(公)-性別'!H17</f>
        <v>0</v>
      </c>
      <c r="I36" s="757">
        <f>I17-'[3]11當年退離(公)-性別'!I17</f>
        <v>0</v>
      </c>
      <c r="J36" s="757">
        <f>J17-'[3]11當年退離(公)-性別'!J17</f>
        <v>0</v>
      </c>
      <c r="K36" s="757">
        <f>K17-'[3]11當年退離(公)-性別'!K17</f>
        <v>0</v>
      </c>
      <c r="L36" s="757">
        <f>L17-'[3]11當年退離(公)-性別'!L17</f>
        <v>0</v>
      </c>
      <c r="M36" s="757">
        <f>M17-'[3]11當年退離(公)-性別'!M17</f>
        <v>0</v>
      </c>
      <c r="N36" s="757">
        <f>N17-'[3]11當年退離(公)-性別'!N17</f>
        <v>0</v>
      </c>
      <c r="O36" s="757">
        <f>O17-'[3]11當年退離(公)-性別'!O17</f>
        <v>0</v>
      </c>
    </row>
    <row r="37" spans="2:15" ht="74.25" customHeight="1">
      <c r="B37" s="757">
        <f>B18-'[3]11當年退離(公)-性別'!B18</f>
        <v>0</v>
      </c>
      <c r="C37" s="757">
        <f>C18-'[3]11當年退離(公)-性別'!C18</f>
        <v>0</v>
      </c>
      <c r="D37" s="757">
        <f>D18-'[3]11當年退離(公)-性別'!D18</f>
        <v>0</v>
      </c>
      <c r="E37" s="757">
        <f>E18-'[3]11當年退離(公)-性別'!E18</f>
        <v>0</v>
      </c>
      <c r="F37" s="757">
        <f>F18-'[3]11當年退離(公)-性別'!F18</f>
        <v>0</v>
      </c>
      <c r="G37" s="757">
        <f>G18-'[3]11當年退離(公)-性別'!G18</f>
        <v>0</v>
      </c>
      <c r="H37" s="757">
        <f>H18-'[3]11當年退離(公)-性別'!H18</f>
        <v>0</v>
      </c>
      <c r="I37" s="757">
        <f>I18-'[3]11當年退離(公)-性別'!I18</f>
        <v>0</v>
      </c>
      <c r="J37" s="757">
        <f>J18-'[3]11當年退離(公)-性別'!J18</f>
        <v>0</v>
      </c>
      <c r="K37" s="757">
        <f>K18-'[3]11當年退離(公)-性別'!K18</f>
        <v>0</v>
      </c>
      <c r="L37" s="757">
        <f>L18-'[3]11當年退離(公)-性別'!L18</f>
        <v>0</v>
      </c>
      <c r="M37" s="757">
        <f>M18-'[3]11當年退離(公)-性別'!M18</f>
        <v>0</v>
      </c>
      <c r="N37" s="757">
        <f>N18-'[3]11當年退離(公)-性別'!N18</f>
        <v>0</v>
      </c>
      <c r="O37" s="757">
        <f>O18-'[3]11當年退離(公)-性別'!O18</f>
        <v>0</v>
      </c>
    </row>
    <row r="38" spans="2:15" ht="74.25" customHeight="1">
      <c r="B38" s="757">
        <f>B19-'[3]11當年退離(公)-性別'!B19</f>
        <v>0</v>
      </c>
      <c r="C38" s="757">
        <f>C19-'[3]11當年退離(公)-性別'!C19</f>
        <v>0</v>
      </c>
      <c r="D38" s="757">
        <f>D19-'[3]11當年退離(公)-性別'!D19</f>
        <v>0</v>
      </c>
      <c r="E38" s="757">
        <f>E19-'[3]11當年退離(公)-性別'!E19</f>
        <v>0</v>
      </c>
      <c r="F38" s="757">
        <f>F19-'[3]11當年退離(公)-性別'!F19</f>
        <v>0</v>
      </c>
      <c r="G38" s="757">
        <f>G19-'[3]11當年退離(公)-性別'!G19</f>
        <v>0</v>
      </c>
      <c r="H38" s="757">
        <f>H19-'[3]11當年退離(公)-性別'!H19</f>
        <v>0</v>
      </c>
      <c r="I38" s="757">
        <f>I19-'[3]11當年退離(公)-性別'!I19</f>
        <v>0</v>
      </c>
      <c r="J38" s="757">
        <f>J19-'[3]11當年退離(公)-性別'!J19</f>
        <v>0</v>
      </c>
      <c r="K38" s="757">
        <f>K19-'[3]11當年退離(公)-性別'!K19</f>
        <v>0</v>
      </c>
      <c r="L38" s="757">
        <f>L19-'[3]11當年退離(公)-性別'!L19</f>
        <v>0</v>
      </c>
      <c r="M38" s="757">
        <f>M19-'[3]11當年退離(公)-性別'!M19</f>
        <v>0</v>
      </c>
      <c r="N38" s="757">
        <f>N19-'[3]11當年退離(公)-性別'!N19</f>
        <v>0</v>
      </c>
      <c r="O38" s="757">
        <f>O19-'[3]11當年退離(公)-性別'!O19</f>
        <v>0</v>
      </c>
    </row>
    <row r="39" spans="2:15" ht="74.25" customHeight="1">
      <c r="B39" s="757">
        <f>B20-'[3]11當年退離(公)-性別'!B20</f>
        <v>0</v>
      </c>
      <c r="C39" s="757">
        <f>C20-'[3]11當年退離(公)-性別'!C20</f>
        <v>0</v>
      </c>
      <c r="D39" s="757">
        <f>D20-'[3]11當年退離(公)-性別'!D20</f>
        <v>0</v>
      </c>
      <c r="E39" s="757">
        <f>E20-'[3]11當年退離(公)-性別'!E20</f>
        <v>0</v>
      </c>
      <c r="F39" s="757">
        <f>F20-'[3]11當年退離(公)-性別'!F20</f>
        <v>0</v>
      </c>
      <c r="G39" s="757">
        <f>G20-'[3]11當年退離(公)-性別'!G20</f>
        <v>0</v>
      </c>
      <c r="H39" s="757">
        <f>H20-'[3]11當年退離(公)-性別'!H20</f>
        <v>0</v>
      </c>
      <c r="I39" s="757">
        <f>I20-'[3]11當年退離(公)-性別'!I20</f>
        <v>0</v>
      </c>
      <c r="J39" s="757">
        <f>J20-'[3]11當年退離(公)-性別'!J20</f>
        <v>0</v>
      </c>
      <c r="K39" s="757">
        <f>K20-'[3]11當年退離(公)-性別'!K20</f>
        <v>0</v>
      </c>
      <c r="L39" s="757">
        <f>L20-'[3]11當年退離(公)-性別'!L20</f>
        <v>0</v>
      </c>
      <c r="M39" s="757">
        <f>M20-'[3]11當年退離(公)-性別'!M20</f>
        <v>0</v>
      </c>
      <c r="N39" s="757">
        <f>N20-'[3]11當年退離(公)-性別'!N20</f>
        <v>0</v>
      </c>
      <c r="O39" s="757">
        <f>O20-'[3]11當年退離(公)-性別'!O20</f>
        <v>0</v>
      </c>
    </row>
    <row r="40" spans="2:15" ht="74.25" customHeight="1">
      <c r="B40" s="757">
        <f>B21-'[3]11當年退離(公)-性別'!B21</f>
        <v>0</v>
      </c>
      <c r="C40" s="757">
        <f>C21-'[3]11當年退離(公)-性別'!C21</f>
        <v>0</v>
      </c>
      <c r="D40" s="757">
        <f>D21-'[3]11當年退離(公)-性別'!D21</f>
        <v>0</v>
      </c>
      <c r="E40" s="757">
        <f>E21-'[3]11當年退離(公)-性別'!E21</f>
        <v>0</v>
      </c>
      <c r="F40" s="757">
        <f>F21-'[3]11當年退離(公)-性別'!F21</f>
        <v>0</v>
      </c>
      <c r="G40" s="757">
        <f>G21-'[3]11當年退離(公)-性別'!G21</f>
        <v>0</v>
      </c>
      <c r="H40" s="757">
        <f>H21-'[3]11當年退離(公)-性別'!H21</f>
        <v>0</v>
      </c>
      <c r="I40" s="757">
        <f>I21-'[3]11當年退離(公)-性別'!I21</f>
        <v>0</v>
      </c>
      <c r="J40" s="757">
        <f>J21-'[3]11當年退離(公)-性別'!J21</f>
        <v>0</v>
      </c>
      <c r="K40" s="757">
        <f>K21-'[3]11當年退離(公)-性別'!K21</f>
        <v>0</v>
      </c>
      <c r="L40" s="757">
        <f>L21-'[3]11當年退離(公)-性別'!L21</f>
        <v>0</v>
      </c>
      <c r="M40" s="757">
        <f>M21-'[3]11當年退離(公)-性別'!M21</f>
        <v>0</v>
      </c>
      <c r="N40" s="757">
        <f>N21-'[3]11當年退離(公)-性別'!N21</f>
        <v>0</v>
      </c>
      <c r="O40" s="757">
        <f>O21-'[3]11當年退離(公)-性別'!O21</f>
        <v>0</v>
      </c>
    </row>
    <row r="41" spans="2:15" ht="74.25" customHeight="1">
      <c r="B41" s="757">
        <f>B22-'[3]11當年退離(公)-性別'!B22</f>
        <v>0</v>
      </c>
      <c r="C41" s="757">
        <f>C22-'[3]11當年退離(公)-性別'!C22</f>
        <v>0</v>
      </c>
      <c r="D41" s="757">
        <f>D22-'[3]11當年退離(公)-性別'!D22</f>
        <v>0</v>
      </c>
      <c r="E41" s="757">
        <f>E22-'[3]11當年退離(公)-性別'!E22</f>
        <v>0</v>
      </c>
      <c r="F41" s="757">
        <f>F22-'[3]11當年退離(公)-性別'!F22</f>
        <v>0</v>
      </c>
      <c r="G41" s="757">
        <f>G22-'[3]11當年退離(公)-性別'!G22</f>
        <v>0</v>
      </c>
      <c r="H41" s="757">
        <f>H22-'[3]11當年退離(公)-性別'!H22</f>
        <v>0</v>
      </c>
      <c r="I41" s="757">
        <f>I22-'[3]11當年退離(公)-性別'!I22</f>
        <v>0</v>
      </c>
      <c r="J41" s="757">
        <f>J22-'[3]11當年退離(公)-性別'!J22</f>
        <v>0</v>
      </c>
      <c r="K41" s="757">
        <f>K22-'[3]11當年退離(公)-性別'!K22</f>
        <v>0</v>
      </c>
      <c r="L41" s="757">
        <f>L22-'[3]11當年退離(公)-性別'!L22</f>
        <v>0</v>
      </c>
      <c r="M41" s="757">
        <f>M22-'[3]11當年退離(公)-性別'!M22</f>
        <v>0</v>
      </c>
      <c r="N41" s="757">
        <f>N22-'[3]11當年退離(公)-性別'!N22</f>
        <v>0</v>
      </c>
      <c r="O41" s="757">
        <f>O22-'[3]11當年退離(公)-性別'!O22</f>
        <v>0</v>
      </c>
    </row>
    <row r="42" spans="2:15" ht="74.25" customHeight="1">
      <c r="B42" s="757">
        <f>B23-'[3]11當年退離(公)-性別'!B23</f>
        <v>0</v>
      </c>
      <c r="C42" s="757">
        <f>C23-'[3]11當年退離(公)-性別'!C23</f>
        <v>0</v>
      </c>
      <c r="D42" s="757">
        <f>D23-'[3]11當年退離(公)-性別'!D23</f>
        <v>0</v>
      </c>
      <c r="E42" s="757">
        <f>E23-'[3]11當年退離(公)-性別'!E23</f>
        <v>0</v>
      </c>
      <c r="F42" s="757">
        <f>F23-'[3]11當年退離(公)-性別'!F23</f>
        <v>0</v>
      </c>
      <c r="G42" s="757">
        <f>G23-'[3]11當年退離(公)-性別'!G23</f>
        <v>0</v>
      </c>
      <c r="H42" s="757">
        <f>H23-'[3]11當年退離(公)-性別'!H23</f>
        <v>0</v>
      </c>
      <c r="I42" s="757">
        <f>I23-'[3]11當年退離(公)-性別'!I23</f>
        <v>0</v>
      </c>
      <c r="J42" s="757">
        <f>J23-'[3]11當年退離(公)-性別'!J23</f>
        <v>0</v>
      </c>
      <c r="K42" s="757">
        <f>K23-'[3]11當年退離(公)-性別'!K23</f>
        <v>0</v>
      </c>
      <c r="L42" s="757">
        <f>L23-'[3]11當年退離(公)-性別'!L23</f>
        <v>0</v>
      </c>
      <c r="M42" s="757">
        <f>M23-'[3]11當年退離(公)-性別'!M23</f>
        <v>0</v>
      </c>
      <c r="N42" s="757">
        <f>N23-'[3]11當年退離(公)-性別'!N23</f>
        <v>0</v>
      </c>
      <c r="O42" s="757">
        <f>O23-'[3]11當年退離(公)-性別'!O23</f>
        <v>0</v>
      </c>
    </row>
  </sheetData>
  <mergeCells count="18">
    <mergeCell ref="A1:H1"/>
    <mergeCell ref="I1:O1"/>
    <mergeCell ref="A2:H2"/>
    <mergeCell ref="I2:N2"/>
    <mergeCell ref="A3:A5"/>
    <mergeCell ref="B3:B5"/>
    <mergeCell ref="C3:F3"/>
    <mergeCell ref="G3:G5"/>
    <mergeCell ref="H3:N3"/>
    <mergeCell ref="O3:O5"/>
    <mergeCell ref="L4:N4"/>
    <mergeCell ref="A24:O24"/>
    <mergeCell ref="C4:C5"/>
    <mergeCell ref="D4:D5"/>
    <mergeCell ref="E4:E5"/>
    <mergeCell ref="F4:F5"/>
    <mergeCell ref="H4:H5"/>
    <mergeCell ref="I4:K4"/>
  </mergeCells>
  <phoneticPr fontId="3" type="noConversion"/>
  <pageMargins left="0.62992125984251968" right="0" top="0.59055118110236227" bottom="0.78740157480314965" header="0" footer="0"/>
  <pageSetup paperSize="9" scale="91" fitToWidth="2" orientation="portrait" r:id="rId1"/>
  <headerFooter alignWithMargins="0"/>
  <colBreaks count="1" manualBreakCount="1">
    <brk id="8" max="23" man="1"/>
  </colBreaks>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D37"/>
  <sheetViews>
    <sheetView view="pageBreakPreview" zoomScale="80" zoomScaleNormal="75" zoomScaleSheetLayoutView="80" workbookViewId="0">
      <pane xSplit="1" ySplit="5" topLeftCell="B6"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9.5" style="758" customWidth="1"/>
    <col min="2" max="3" width="10.625" style="748" customWidth="1"/>
    <col min="4" max="4" width="13.125" style="748" customWidth="1"/>
    <col min="5" max="5" width="10.625" style="748" customWidth="1"/>
    <col min="6" max="6" width="14.875" style="748" customWidth="1"/>
    <col min="7" max="8" width="10.625" style="748" customWidth="1"/>
    <col min="9" max="9" width="8.375" style="748" customWidth="1"/>
    <col min="10" max="10" width="13.25" style="748" customWidth="1"/>
    <col min="11" max="11" width="16.625" style="748" customWidth="1"/>
    <col min="12" max="12" width="8.375" style="748" customWidth="1"/>
    <col min="13" max="13" width="13.25" style="748" customWidth="1"/>
    <col min="14" max="14" width="16.625" style="748" customWidth="1"/>
    <col min="15" max="15" width="13" style="748" customWidth="1"/>
    <col min="16" max="16" width="10.875" style="748" bestFit="1" customWidth="1"/>
    <col min="17" max="16384" width="8.125" style="748"/>
  </cols>
  <sheetData>
    <row r="1" spans="1:30" ht="33" customHeight="1">
      <c r="A1" s="848" t="s">
        <v>273</v>
      </c>
      <c r="B1" s="848"/>
      <c r="C1" s="848"/>
      <c r="D1" s="848"/>
      <c r="E1" s="848"/>
      <c r="F1" s="848"/>
      <c r="G1" s="848"/>
      <c r="H1" s="848"/>
      <c r="I1" s="849" t="s">
        <v>206</v>
      </c>
      <c r="J1" s="849"/>
      <c r="K1" s="849"/>
      <c r="L1" s="849"/>
      <c r="M1" s="849"/>
      <c r="N1" s="849"/>
      <c r="O1" s="849"/>
    </row>
    <row r="2" spans="1:30" s="150" customFormat="1" ht="33" customHeight="1">
      <c r="A2" s="850" t="s">
        <v>64</v>
      </c>
      <c r="B2" s="850"/>
      <c r="C2" s="850"/>
      <c r="D2" s="850"/>
      <c r="E2" s="850"/>
      <c r="F2" s="850"/>
      <c r="G2" s="850"/>
      <c r="H2" s="850"/>
      <c r="I2" s="851" t="s">
        <v>398</v>
      </c>
      <c r="J2" s="851"/>
      <c r="K2" s="851"/>
      <c r="L2" s="851"/>
      <c r="M2" s="851"/>
      <c r="N2" s="851"/>
      <c r="O2" s="749" t="s">
        <v>9</v>
      </c>
    </row>
    <row r="3" spans="1:30" s="150" customFormat="1" ht="29.25" customHeight="1">
      <c r="A3" s="847" t="s">
        <v>48</v>
      </c>
      <c r="B3" s="852" t="s">
        <v>49</v>
      </c>
      <c r="C3" s="853" t="s">
        <v>66</v>
      </c>
      <c r="D3" s="853"/>
      <c r="E3" s="853"/>
      <c r="F3" s="853"/>
      <c r="G3" s="854" t="s">
        <v>101</v>
      </c>
      <c r="H3" s="844" t="s">
        <v>67</v>
      </c>
      <c r="I3" s="856"/>
      <c r="J3" s="856"/>
      <c r="K3" s="856"/>
      <c r="L3" s="856"/>
      <c r="M3" s="856"/>
      <c r="N3" s="857"/>
      <c r="O3" s="855" t="s">
        <v>81</v>
      </c>
      <c r="P3" s="750"/>
    </row>
    <row r="4" spans="1:30" s="150" customFormat="1" ht="29.25" customHeight="1">
      <c r="A4" s="847"/>
      <c r="B4" s="852"/>
      <c r="C4" s="839" t="s">
        <v>58</v>
      </c>
      <c r="D4" s="841" t="s">
        <v>74</v>
      </c>
      <c r="E4" s="839" t="s">
        <v>75</v>
      </c>
      <c r="F4" s="843" t="s">
        <v>76</v>
      </c>
      <c r="G4" s="855"/>
      <c r="H4" s="844" t="s">
        <v>58</v>
      </c>
      <c r="I4" s="846" t="s">
        <v>197</v>
      </c>
      <c r="J4" s="846"/>
      <c r="K4" s="847"/>
      <c r="L4" s="858" t="s">
        <v>198</v>
      </c>
      <c r="M4" s="846"/>
      <c r="N4" s="847"/>
      <c r="O4" s="855"/>
      <c r="P4" s="750"/>
    </row>
    <row r="5" spans="1:30" s="150" customFormat="1" ht="39.200000000000003" customHeight="1">
      <c r="A5" s="847"/>
      <c r="B5" s="852"/>
      <c r="C5" s="840"/>
      <c r="D5" s="842"/>
      <c r="E5" s="840"/>
      <c r="F5" s="842"/>
      <c r="G5" s="855"/>
      <c r="H5" s="845"/>
      <c r="I5" s="751" t="s">
        <v>258</v>
      </c>
      <c r="J5" s="678" t="s">
        <v>83</v>
      </c>
      <c r="K5" s="679" t="s">
        <v>190</v>
      </c>
      <c r="L5" s="678" t="s">
        <v>258</v>
      </c>
      <c r="M5" s="678" t="s">
        <v>10</v>
      </c>
      <c r="N5" s="679" t="s">
        <v>190</v>
      </c>
      <c r="O5" s="855"/>
      <c r="P5" s="750"/>
      <c r="Q5" s="150" t="s">
        <v>1023</v>
      </c>
    </row>
    <row r="6" spans="1:30" s="150" customFormat="1" ht="47.85" customHeight="1">
      <c r="A6" s="148" t="s">
        <v>61</v>
      </c>
      <c r="B6" s="708">
        <f>C6+G6+H6+O6</f>
        <v>4250</v>
      </c>
      <c r="C6" s="708">
        <f t="shared" ref="C6:C17" si="0">SUM(D6:F6)</f>
        <v>3962</v>
      </c>
      <c r="D6" s="708">
        <f>D9+D12+D15</f>
        <v>87</v>
      </c>
      <c r="E6" s="708">
        <f>E9+E12+E15</f>
        <v>3852</v>
      </c>
      <c r="F6" s="708">
        <f>F9+F12+F15</f>
        <v>23</v>
      </c>
      <c r="G6" s="708">
        <f>G9+G12+G15</f>
        <v>10</v>
      </c>
      <c r="H6" s="708">
        <f t="shared" ref="H6:H17" si="1">I6+L6</f>
        <v>104</v>
      </c>
      <c r="I6" s="708">
        <f t="shared" ref="I6:I17" si="2">SUM(J6:K6)</f>
        <v>101</v>
      </c>
      <c r="J6" s="708">
        <f t="shared" ref="J6:K8" si="3">J9+J12+J15</f>
        <v>22</v>
      </c>
      <c r="K6" s="708">
        <f t="shared" si="3"/>
        <v>79</v>
      </c>
      <c r="L6" s="708">
        <f t="shared" ref="L6:L17" si="4">SUM(M6:N6)</f>
        <v>3</v>
      </c>
      <c r="M6" s="708">
        <f t="shared" ref="M6:O8" si="5">M9+M12+M15</f>
        <v>0</v>
      </c>
      <c r="N6" s="708">
        <f t="shared" si="5"/>
        <v>3</v>
      </c>
      <c r="O6" s="708">
        <f t="shared" si="5"/>
        <v>174</v>
      </c>
      <c r="P6" s="149">
        <f>B6-'8歷年退離(教)-OK'!B17</f>
        <v>0</v>
      </c>
      <c r="Q6" s="702">
        <f>SUM(C7:C8)-C6</f>
        <v>0</v>
      </c>
      <c r="R6" s="702">
        <f t="shared" ref="R6:AD6" si="6">SUM(D7:D8)-D6</f>
        <v>0</v>
      </c>
      <c r="S6" s="702">
        <f t="shared" si="6"/>
        <v>0</v>
      </c>
      <c r="T6" s="702">
        <f t="shared" si="6"/>
        <v>0</v>
      </c>
      <c r="U6" s="702">
        <f t="shared" si="6"/>
        <v>0</v>
      </c>
      <c r="V6" s="702">
        <f t="shared" si="6"/>
        <v>0</v>
      </c>
      <c r="W6" s="702">
        <f t="shared" si="6"/>
        <v>0</v>
      </c>
      <c r="X6" s="702">
        <f t="shared" si="6"/>
        <v>0</v>
      </c>
      <c r="Y6" s="702">
        <f t="shared" si="6"/>
        <v>0</v>
      </c>
      <c r="Z6" s="702">
        <f t="shared" si="6"/>
        <v>0</v>
      </c>
      <c r="AA6" s="702">
        <f t="shared" si="6"/>
        <v>0</v>
      </c>
      <c r="AB6" s="702">
        <f t="shared" si="6"/>
        <v>0</v>
      </c>
      <c r="AC6" s="702">
        <f t="shared" si="6"/>
        <v>0</v>
      </c>
      <c r="AD6" s="702">
        <f t="shared" si="6"/>
        <v>0</v>
      </c>
    </row>
    <row r="7" spans="1:30" s="150" customFormat="1" ht="47.85" customHeight="1">
      <c r="A7" s="148" t="s">
        <v>399</v>
      </c>
      <c r="B7" s="708">
        <f t="shared" ref="B7:B17" si="7">C7+G7+H7+O7</f>
        <v>1658</v>
      </c>
      <c r="C7" s="708">
        <f t="shared" si="0"/>
        <v>1529</v>
      </c>
      <c r="D7" s="708">
        <f t="shared" ref="D7:G8" si="8">D10+D13+D16</f>
        <v>45</v>
      </c>
      <c r="E7" s="708">
        <f t="shared" si="8"/>
        <v>1474</v>
      </c>
      <c r="F7" s="708">
        <f t="shared" si="8"/>
        <v>10</v>
      </c>
      <c r="G7" s="708">
        <f t="shared" si="8"/>
        <v>2</v>
      </c>
      <c r="H7" s="708">
        <f t="shared" si="1"/>
        <v>61</v>
      </c>
      <c r="I7" s="708">
        <f t="shared" si="2"/>
        <v>59</v>
      </c>
      <c r="J7" s="708">
        <f t="shared" si="3"/>
        <v>10</v>
      </c>
      <c r="K7" s="708">
        <f t="shared" si="3"/>
        <v>49</v>
      </c>
      <c r="L7" s="708">
        <f t="shared" si="4"/>
        <v>2</v>
      </c>
      <c r="M7" s="708">
        <f t="shared" si="5"/>
        <v>0</v>
      </c>
      <c r="N7" s="708">
        <f t="shared" si="5"/>
        <v>2</v>
      </c>
      <c r="O7" s="708">
        <f t="shared" si="5"/>
        <v>66</v>
      </c>
    </row>
    <row r="8" spans="1:30" s="150" customFormat="1" ht="47.85" customHeight="1">
      <c r="A8" s="148" t="s">
        <v>401</v>
      </c>
      <c r="B8" s="708">
        <f t="shared" si="7"/>
        <v>2592</v>
      </c>
      <c r="C8" s="708">
        <f t="shared" si="0"/>
        <v>2433</v>
      </c>
      <c r="D8" s="708">
        <f t="shared" si="8"/>
        <v>42</v>
      </c>
      <c r="E8" s="708">
        <f t="shared" si="8"/>
        <v>2378</v>
      </c>
      <c r="F8" s="708">
        <f t="shared" si="8"/>
        <v>13</v>
      </c>
      <c r="G8" s="708">
        <f t="shared" si="8"/>
        <v>8</v>
      </c>
      <c r="H8" s="708">
        <f t="shared" si="1"/>
        <v>43</v>
      </c>
      <c r="I8" s="708">
        <f t="shared" si="2"/>
        <v>42</v>
      </c>
      <c r="J8" s="708">
        <f t="shared" si="3"/>
        <v>12</v>
      </c>
      <c r="K8" s="708">
        <f t="shared" si="3"/>
        <v>30</v>
      </c>
      <c r="L8" s="708">
        <f t="shared" si="4"/>
        <v>1</v>
      </c>
      <c r="M8" s="708">
        <f t="shared" si="5"/>
        <v>0</v>
      </c>
      <c r="N8" s="708">
        <f t="shared" si="5"/>
        <v>1</v>
      </c>
      <c r="O8" s="708">
        <f t="shared" si="5"/>
        <v>108</v>
      </c>
    </row>
    <row r="9" spans="1:30" s="753" customFormat="1" ht="47.85" customHeight="1">
      <c r="A9" s="148" t="s">
        <v>50</v>
      </c>
      <c r="B9" s="708">
        <f t="shared" si="7"/>
        <v>877</v>
      </c>
      <c r="C9" s="708">
        <f t="shared" si="0"/>
        <v>805</v>
      </c>
      <c r="D9" s="708">
        <f>SUM(D10:D11)</f>
        <v>37</v>
      </c>
      <c r="E9" s="708">
        <f>SUM(E10:E11)</f>
        <v>761</v>
      </c>
      <c r="F9" s="708">
        <f>SUM(F10:F11)</f>
        <v>7</v>
      </c>
      <c r="G9" s="708">
        <f>SUM(G10:G11)</f>
        <v>1</v>
      </c>
      <c r="H9" s="708">
        <f t="shared" si="1"/>
        <v>22</v>
      </c>
      <c r="I9" s="708">
        <f t="shared" si="2"/>
        <v>21</v>
      </c>
      <c r="J9" s="708">
        <f>SUM(J10:J11)</f>
        <v>8</v>
      </c>
      <c r="K9" s="708">
        <f>SUM(K10:K11)</f>
        <v>13</v>
      </c>
      <c r="L9" s="708">
        <f t="shared" si="4"/>
        <v>1</v>
      </c>
      <c r="M9" s="708">
        <f>SUM(M10:M11)</f>
        <v>0</v>
      </c>
      <c r="N9" s="708">
        <f>SUM(N10:N11)</f>
        <v>1</v>
      </c>
      <c r="O9" s="708">
        <f>SUM(O10:O11)</f>
        <v>49</v>
      </c>
      <c r="Q9" s="702">
        <f>SUM(C10:C11)-C9</f>
        <v>0</v>
      </c>
      <c r="R9" s="702">
        <f t="shared" ref="R9:AD9" si="9">SUM(D10:D11)-D9</f>
        <v>0</v>
      </c>
      <c r="S9" s="702">
        <f t="shared" si="9"/>
        <v>0</v>
      </c>
      <c r="T9" s="702">
        <f t="shared" si="9"/>
        <v>0</v>
      </c>
      <c r="U9" s="702">
        <f t="shared" si="9"/>
        <v>0</v>
      </c>
      <c r="V9" s="702">
        <f t="shared" si="9"/>
        <v>0</v>
      </c>
      <c r="W9" s="702">
        <f t="shared" si="9"/>
        <v>0</v>
      </c>
      <c r="X9" s="702">
        <f t="shared" si="9"/>
        <v>0</v>
      </c>
      <c r="Y9" s="702">
        <f t="shared" si="9"/>
        <v>0</v>
      </c>
      <c r="Z9" s="702">
        <f t="shared" si="9"/>
        <v>0</v>
      </c>
      <c r="AA9" s="702">
        <f t="shared" si="9"/>
        <v>0</v>
      </c>
      <c r="AB9" s="702">
        <f t="shared" si="9"/>
        <v>0</v>
      </c>
      <c r="AC9" s="702">
        <f t="shared" si="9"/>
        <v>0</v>
      </c>
      <c r="AD9" s="702">
        <f t="shared" si="9"/>
        <v>0</v>
      </c>
    </row>
    <row r="10" spans="1:30" s="150" customFormat="1" ht="47.85" customHeight="1">
      <c r="A10" s="148" t="s">
        <v>399</v>
      </c>
      <c r="B10" s="708">
        <f t="shared" si="7"/>
        <v>569</v>
      </c>
      <c r="C10" s="708">
        <f t="shared" si="0"/>
        <v>528</v>
      </c>
      <c r="D10" s="708">
        <v>28</v>
      </c>
      <c r="E10" s="708">
        <v>496</v>
      </c>
      <c r="F10" s="708">
        <v>4</v>
      </c>
      <c r="G10" s="708">
        <v>0</v>
      </c>
      <c r="H10" s="708">
        <f t="shared" si="1"/>
        <v>15</v>
      </c>
      <c r="I10" s="708">
        <f t="shared" si="2"/>
        <v>14</v>
      </c>
      <c r="J10" s="708">
        <v>5</v>
      </c>
      <c r="K10" s="708">
        <v>9</v>
      </c>
      <c r="L10" s="708">
        <f t="shared" si="4"/>
        <v>1</v>
      </c>
      <c r="M10" s="708">
        <v>0</v>
      </c>
      <c r="N10" s="708">
        <v>1</v>
      </c>
      <c r="O10" s="708">
        <v>26</v>
      </c>
    </row>
    <row r="11" spans="1:30" s="150" customFormat="1" ht="47.85" customHeight="1">
      <c r="A11" s="148" t="s">
        <v>401</v>
      </c>
      <c r="B11" s="708">
        <f t="shared" si="7"/>
        <v>308</v>
      </c>
      <c r="C11" s="708">
        <f t="shared" si="0"/>
        <v>277</v>
      </c>
      <c r="D11" s="708">
        <v>9</v>
      </c>
      <c r="E11" s="708">
        <v>265</v>
      </c>
      <c r="F11" s="708">
        <v>3</v>
      </c>
      <c r="G11" s="708">
        <v>1</v>
      </c>
      <c r="H11" s="708">
        <f t="shared" si="1"/>
        <v>7</v>
      </c>
      <c r="I11" s="708">
        <f t="shared" si="2"/>
        <v>7</v>
      </c>
      <c r="J11" s="708">
        <v>3</v>
      </c>
      <c r="K11" s="708">
        <v>4</v>
      </c>
      <c r="L11" s="708">
        <f t="shared" si="4"/>
        <v>0</v>
      </c>
      <c r="M11" s="708">
        <v>0</v>
      </c>
      <c r="N11" s="708"/>
      <c r="O11" s="708">
        <v>23</v>
      </c>
    </row>
    <row r="12" spans="1:30" s="753" customFormat="1" ht="47.85" customHeight="1">
      <c r="A12" s="759" t="s">
        <v>72</v>
      </c>
      <c r="B12" s="708">
        <f t="shared" si="7"/>
        <v>2357</v>
      </c>
      <c r="C12" s="708">
        <f t="shared" si="0"/>
        <v>2206</v>
      </c>
      <c r="D12" s="708">
        <f>SUM(D13:D14)</f>
        <v>32</v>
      </c>
      <c r="E12" s="708">
        <f>SUM(E13:E14)</f>
        <v>2164</v>
      </c>
      <c r="F12" s="708">
        <f>SUM(F13:F14)</f>
        <v>10</v>
      </c>
      <c r="G12" s="708">
        <f>SUM(G13:G14)</f>
        <v>5</v>
      </c>
      <c r="H12" s="708">
        <f t="shared" si="1"/>
        <v>58</v>
      </c>
      <c r="I12" s="708">
        <f t="shared" si="2"/>
        <v>57</v>
      </c>
      <c r="J12" s="708">
        <f>SUM(J13:J14)</f>
        <v>9</v>
      </c>
      <c r="K12" s="708">
        <f>SUM(K13:K14)</f>
        <v>48</v>
      </c>
      <c r="L12" s="708">
        <f t="shared" si="4"/>
        <v>1</v>
      </c>
      <c r="M12" s="708">
        <f>SUM(M13:M14)</f>
        <v>0</v>
      </c>
      <c r="N12" s="708">
        <f>SUM(N13:N14)</f>
        <v>1</v>
      </c>
      <c r="O12" s="708">
        <f>SUM(O13:O14)</f>
        <v>88</v>
      </c>
      <c r="Q12" s="702">
        <f>SUM(C13:C14)-C12</f>
        <v>0</v>
      </c>
      <c r="R12" s="702">
        <f t="shared" ref="R12:AD12" si="10">SUM(D13:D14)-D12</f>
        <v>0</v>
      </c>
      <c r="S12" s="702">
        <f t="shared" si="10"/>
        <v>0</v>
      </c>
      <c r="T12" s="702">
        <f t="shared" si="10"/>
        <v>0</v>
      </c>
      <c r="U12" s="702">
        <f t="shared" si="10"/>
        <v>0</v>
      </c>
      <c r="V12" s="702">
        <f t="shared" si="10"/>
        <v>0</v>
      </c>
      <c r="W12" s="702">
        <f t="shared" si="10"/>
        <v>0</v>
      </c>
      <c r="X12" s="702">
        <f t="shared" si="10"/>
        <v>0</v>
      </c>
      <c r="Y12" s="702">
        <f t="shared" si="10"/>
        <v>0</v>
      </c>
      <c r="Z12" s="702">
        <f t="shared" si="10"/>
        <v>0</v>
      </c>
      <c r="AA12" s="702">
        <f t="shared" si="10"/>
        <v>0</v>
      </c>
      <c r="AB12" s="702">
        <f t="shared" si="10"/>
        <v>0</v>
      </c>
      <c r="AC12" s="702">
        <f t="shared" si="10"/>
        <v>0</v>
      </c>
      <c r="AD12" s="702">
        <f t="shared" si="10"/>
        <v>0</v>
      </c>
    </row>
    <row r="13" spans="1:30" s="150" customFormat="1" ht="47.85" customHeight="1">
      <c r="A13" s="148" t="s">
        <v>399</v>
      </c>
      <c r="B13" s="708">
        <f t="shared" si="7"/>
        <v>743</v>
      </c>
      <c r="C13" s="708">
        <f t="shared" si="0"/>
        <v>682</v>
      </c>
      <c r="D13" s="708">
        <v>10</v>
      </c>
      <c r="E13" s="708">
        <v>670</v>
      </c>
      <c r="F13" s="708">
        <v>2</v>
      </c>
      <c r="G13" s="708">
        <v>1</v>
      </c>
      <c r="H13" s="708">
        <f t="shared" si="1"/>
        <v>31</v>
      </c>
      <c r="I13" s="708">
        <f t="shared" si="2"/>
        <v>31</v>
      </c>
      <c r="J13" s="708">
        <v>3</v>
      </c>
      <c r="K13" s="708">
        <v>28</v>
      </c>
      <c r="L13" s="708">
        <f t="shared" si="4"/>
        <v>0</v>
      </c>
      <c r="M13" s="708">
        <v>0</v>
      </c>
      <c r="N13" s="708">
        <v>0</v>
      </c>
      <c r="O13" s="708">
        <v>29</v>
      </c>
    </row>
    <row r="14" spans="1:30" s="150" customFormat="1" ht="47.85" customHeight="1">
      <c r="A14" s="148" t="s">
        <v>401</v>
      </c>
      <c r="B14" s="708">
        <f t="shared" si="7"/>
        <v>1614</v>
      </c>
      <c r="C14" s="708">
        <f t="shared" si="0"/>
        <v>1524</v>
      </c>
      <c r="D14" s="708">
        <v>22</v>
      </c>
      <c r="E14" s="708">
        <v>1494</v>
      </c>
      <c r="F14" s="708">
        <v>8</v>
      </c>
      <c r="G14" s="708">
        <v>4</v>
      </c>
      <c r="H14" s="708">
        <f t="shared" si="1"/>
        <v>27</v>
      </c>
      <c r="I14" s="708">
        <f t="shared" si="2"/>
        <v>26</v>
      </c>
      <c r="J14" s="708">
        <v>6</v>
      </c>
      <c r="K14" s="708">
        <v>20</v>
      </c>
      <c r="L14" s="708">
        <f t="shared" si="4"/>
        <v>1</v>
      </c>
      <c r="M14" s="708">
        <v>0</v>
      </c>
      <c r="N14" s="708">
        <v>1</v>
      </c>
      <c r="O14" s="708">
        <v>59</v>
      </c>
    </row>
    <row r="15" spans="1:30" s="753" customFormat="1" ht="47.85" customHeight="1">
      <c r="A15" s="759" t="s">
        <v>51</v>
      </c>
      <c r="B15" s="708">
        <f t="shared" si="7"/>
        <v>1016</v>
      </c>
      <c r="C15" s="708">
        <f t="shared" si="0"/>
        <v>951</v>
      </c>
      <c r="D15" s="708">
        <f>SUM(D16:D17)</f>
        <v>18</v>
      </c>
      <c r="E15" s="708">
        <f>SUM(E16:E17)</f>
        <v>927</v>
      </c>
      <c r="F15" s="708">
        <f>SUM(F16:F17)</f>
        <v>6</v>
      </c>
      <c r="G15" s="708">
        <f>SUM(G16:G17)</f>
        <v>4</v>
      </c>
      <c r="H15" s="708">
        <f t="shared" si="1"/>
        <v>24</v>
      </c>
      <c r="I15" s="708">
        <f t="shared" si="2"/>
        <v>23</v>
      </c>
      <c r="J15" s="708">
        <f>SUM(J16:J17)</f>
        <v>5</v>
      </c>
      <c r="K15" s="708">
        <f>SUM(K16:K17)</f>
        <v>18</v>
      </c>
      <c r="L15" s="708">
        <f t="shared" si="4"/>
        <v>1</v>
      </c>
      <c r="M15" s="708">
        <f>SUM(M16:M17)</f>
        <v>0</v>
      </c>
      <c r="N15" s="708">
        <f>SUM(N16:N17)</f>
        <v>1</v>
      </c>
      <c r="O15" s="708">
        <f>SUM(O16:O17)</f>
        <v>37</v>
      </c>
      <c r="Q15" s="702">
        <f>SUM(C16:C17)-C15</f>
        <v>0</v>
      </c>
      <c r="R15" s="702">
        <f t="shared" ref="R15:AD15" si="11">SUM(D16:D17)-D15</f>
        <v>0</v>
      </c>
      <c r="S15" s="702">
        <f t="shared" si="11"/>
        <v>0</v>
      </c>
      <c r="T15" s="702">
        <f t="shared" si="11"/>
        <v>0</v>
      </c>
      <c r="U15" s="702">
        <f t="shared" si="11"/>
        <v>0</v>
      </c>
      <c r="V15" s="702">
        <f t="shared" si="11"/>
        <v>0</v>
      </c>
      <c r="W15" s="702">
        <f t="shared" si="11"/>
        <v>0</v>
      </c>
      <c r="X15" s="702">
        <f t="shared" si="11"/>
        <v>0</v>
      </c>
      <c r="Y15" s="702">
        <f t="shared" si="11"/>
        <v>0</v>
      </c>
      <c r="Z15" s="702">
        <f t="shared" si="11"/>
        <v>0</v>
      </c>
      <c r="AA15" s="702">
        <f t="shared" si="11"/>
        <v>0</v>
      </c>
      <c r="AB15" s="702">
        <f t="shared" si="11"/>
        <v>0</v>
      </c>
      <c r="AC15" s="702">
        <f t="shared" si="11"/>
        <v>0</v>
      </c>
      <c r="AD15" s="702">
        <f t="shared" si="11"/>
        <v>0</v>
      </c>
    </row>
    <row r="16" spans="1:30" s="150" customFormat="1" ht="47.85" customHeight="1">
      <c r="A16" s="148" t="s">
        <v>399</v>
      </c>
      <c r="B16" s="708">
        <f t="shared" si="7"/>
        <v>346</v>
      </c>
      <c r="C16" s="708">
        <f t="shared" si="0"/>
        <v>319</v>
      </c>
      <c r="D16" s="708">
        <v>7</v>
      </c>
      <c r="E16" s="708">
        <v>308</v>
      </c>
      <c r="F16" s="708">
        <v>4</v>
      </c>
      <c r="G16" s="708">
        <v>1</v>
      </c>
      <c r="H16" s="708">
        <f t="shared" si="1"/>
        <v>15</v>
      </c>
      <c r="I16" s="708">
        <f t="shared" si="2"/>
        <v>14</v>
      </c>
      <c r="J16" s="708">
        <v>2</v>
      </c>
      <c r="K16" s="708">
        <v>12</v>
      </c>
      <c r="L16" s="708">
        <f t="shared" si="4"/>
        <v>1</v>
      </c>
      <c r="M16" s="708">
        <v>0</v>
      </c>
      <c r="N16" s="708">
        <v>1</v>
      </c>
      <c r="O16" s="708">
        <v>11</v>
      </c>
    </row>
    <row r="17" spans="1:15" s="150" customFormat="1" ht="47.85" customHeight="1">
      <c r="A17" s="148" t="s">
        <v>401</v>
      </c>
      <c r="B17" s="708">
        <f t="shared" si="7"/>
        <v>670</v>
      </c>
      <c r="C17" s="708">
        <f t="shared" si="0"/>
        <v>632</v>
      </c>
      <c r="D17" s="708">
        <v>11</v>
      </c>
      <c r="E17" s="708">
        <v>619</v>
      </c>
      <c r="F17" s="708">
        <v>2</v>
      </c>
      <c r="G17" s="708">
        <v>3</v>
      </c>
      <c r="H17" s="708">
        <f t="shared" si="1"/>
        <v>9</v>
      </c>
      <c r="I17" s="708">
        <f t="shared" si="2"/>
        <v>9</v>
      </c>
      <c r="J17" s="708">
        <v>3</v>
      </c>
      <c r="K17" s="708">
        <v>6</v>
      </c>
      <c r="L17" s="708">
        <f t="shared" si="4"/>
        <v>0</v>
      </c>
      <c r="M17" s="708">
        <v>0</v>
      </c>
      <c r="N17" s="708">
        <v>0</v>
      </c>
      <c r="O17" s="708">
        <v>26</v>
      </c>
    </row>
    <row r="18" spans="1:15" s="680" customFormat="1" ht="28.5" customHeight="1">
      <c r="A18" s="838" t="s">
        <v>991</v>
      </c>
      <c r="B18" s="838"/>
      <c r="C18" s="838"/>
      <c r="D18" s="838"/>
      <c r="E18" s="838"/>
      <c r="F18" s="838"/>
      <c r="G18" s="838"/>
      <c r="H18" s="838"/>
      <c r="I18" s="838"/>
      <c r="J18" s="838"/>
      <c r="K18" s="838"/>
      <c r="L18" s="838"/>
      <c r="M18" s="838"/>
      <c r="N18" s="838"/>
      <c r="O18" s="838"/>
    </row>
    <row r="19" spans="1:15" ht="20.100000000000001" customHeight="1">
      <c r="A19" s="756" t="s">
        <v>1027</v>
      </c>
      <c r="B19" s="760"/>
      <c r="C19" s="760"/>
      <c r="D19" s="760"/>
      <c r="E19" s="760"/>
      <c r="F19" s="760"/>
      <c r="G19" s="760"/>
      <c r="H19" s="760"/>
      <c r="I19" s="760"/>
      <c r="J19" s="760"/>
      <c r="K19" s="760"/>
      <c r="L19" s="760"/>
      <c r="M19" s="760"/>
      <c r="N19" s="760"/>
      <c r="O19" s="760"/>
    </row>
    <row r="20" spans="1:15" ht="74.25" customHeight="1">
      <c r="B20" s="757">
        <f>B6-'[3]12當年退離(教)-性別'!B6</f>
        <v>0</v>
      </c>
      <c r="C20" s="757">
        <f>C6-'[3]12當年退離(教)-性別'!C6</f>
        <v>0</v>
      </c>
      <c r="D20" s="757">
        <f>D6-'[3]12當年退離(教)-性別'!D6</f>
        <v>0</v>
      </c>
      <c r="E20" s="757">
        <f>E6-'[3]12當年退離(教)-性別'!E6</f>
        <v>0</v>
      </c>
      <c r="F20" s="757">
        <f>F6-'[3]12當年退離(教)-性別'!F6</f>
        <v>0</v>
      </c>
      <c r="G20" s="757">
        <f>G6-'[3]12當年退離(教)-性別'!G6</f>
        <v>0</v>
      </c>
      <c r="H20" s="757">
        <f>H6-'[3]12當年退離(教)-性別'!H6</f>
        <v>0</v>
      </c>
      <c r="I20" s="757">
        <f>I6-'[3]12當年退離(教)-性別'!I6</f>
        <v>0</v>
      </c>
      <c r="J20" s="757">
        <f>J6-'[3]12當年退離(教)-性別'!J6</f>
        <v>0</v>
      </c>
      <c r="K20" s="757">
        <f>K6-'[3]12當年退離(教)-性別'!K6</f>
        <v>0</v>
      </c>
      <c r="L20" s="757">
        <f>L6-'[3]12當年退離(教)-性別'!L6</f>
        <v>0</v>
      </c>
      <c r="M20" s="757">
        <f>M6-'[3]12當年退離(教)-性別'!M6</f>
        <v>0</v>
      </c>
      <c r="N20" s="757">
        <f>N6-'[3]12當年退離(教)-性別'!N6</f>
        <v>0</v>
      </c>
      <c r="O20" s="757">
        <f>O6-'[3]12當年退離(教)-性別'!O6</f>
        <v>0</v>
      </c>
    </row>
    <row r="21" spans="1:15" ht="74.25" customHeight="1">
      <c r="B21" s="757">
        <f>B7-'[3]12當年退離(教)-性別'!B7</f>
        <v>0</v>
      </c>
      <c r="C21" s="757">
        <f>C7-'[3]12當年退離(教)-性別'!C7</f>
        <v>0</v>
      </c>
      <c r="D21" s="757">
        <f>D7-'[3]12當年退離(教)-性別'!D7</f>
        <v>0</v>
      </c>
      <c r="E21" s="757">
        <f>E7-'[3]12當年退離(教)-性別'!E7</f>
        <v>0</v>
      </c>
      <c r="F21" s="757">
        <f>F7-'[3]12當年退離(教)-性別'!F7</f>
        <v>0</v>
      </c>
      <c r="G21" s="757">
        <f>G7-'[3]12當年退離(教)-性別'!G7</f>
        <v>0</v>
      </c>
      <c r="H21" s="757">
        <f>H7-'[3]12當年退離(教)-性別'!H7</f>
        <v>0</v>
      </c>
      <c r="I21" s="757">
        <f>I7-'[3]12當年退離(教)-性別'!I7</f>
        <v>0</v>
      </c>
      <c r="J21" s="757">
        <f>J7-'[3]12當年退離(教)-性別'!J7</f>
        <v>0</v>
      </c>
      <c r="K21" s="757">
        <f>K7-'[3]12當年退離(教)-性別'!K7</f>
        <v>0</v>
      </c>
      <c r="L21" s="757">
        <f>L7-'[3]12當年退離(教)-性別'!L7</f>
        <v>0</v>
      </c>
      <c r="M21" s="757">
        <f>M7-'[3]12當年退離(教)-性別'!M7</f>
        <v>0</v>
      </c>
      <c r="N21" s="757">
        <f>N7-'[3]12當年退離(教)-性別'!N7</f>
        <v>0</v>
      </c>
      <c r="O21" s="757">
        <f>O7-'[3]12當年退離(教)-性別'!O7</f>
        <v>0</v>
      </c>
    </row>
    <row r="22" spans="1:15" ht="74.25" customHeight="1">
      <c r="B22" s="757">
        <f>B8-'[3]12當年退離(教)-性別'!B8</f>
        <v>0</v>
      </c>
      <c r="C22" s="757">
        <f>C8-'[3]12當年退離(教)-性別'!C8</f>
        <v>0</v>
      </c>
      <c r="D22" s="757">
        <f>D8-'[3]12當年退離(教)-性別'!D8</f>
        <v>0</v>
      </c>
      <c r="E22" s="757">
        <f>E8-'[3]12當年退離(教)-性別'!E8</f>
        <v>0</v>
      </c>
      <c r="F22" s="757">
        <f>F8-'[3]12當年退離(教)-性別'!F8</f>
        <v>0</v>
      </c>
      <c r="G22" s="757">
        <f>G8-'[3]12當年退離(教)-性別'!G8</f>
        <v>0</v>
      </c>
      <c r="H22" s="757">
        <f>H8-'[3]12當年退離(教)-性別'!H8</f>
        <v>0</v>
      </c>
      <c r="I22" s="757">
        <f>I8-'[3]12當年退離(教)-性別'!I8</f>
        <v>0</v>
      </c>
      <c r="J22" s="757">
        <f>J8-'[3]12當年退離(教)-性別'!J8</f>
        <v>0</v>
      </c>
      <c r="K22" s="757">
        <f>K8-'[3]12當年退離(教)-性別'!K8</f>
        <v>0</v>
      </c>
      <c r="L22" s="757">
        <f>L8-'[3]12當年退離(教)-性別'!L8</f>
        <v>0</v>
      </c>
      <c r="M22" s="757">
        <f>M8-'[3]12當年退離(教)-性別'!M8</f>
        <v>0</v>
      </c>
      <c r="N22" s="757">
        <f>N8-'[3]12當年退離(教)-性別'!N8</f>
        <v>0</v>
      </c>
      <c r="O22" s="757">
        <f>O8-'[3]12當年退離(教)-性別'!O8</f>
        <v>0</v>
      </c>
    </row>
    <row r="23" spans="1:15" ht="74.25" customHeight="1">
      <c r="B23" s="757">
        <f>B9-'[3]12當年退離(教)-性別'!B9</f>
        <v>0</v>
      </c>
      <c r="C23" s="757">
        <f>C9-'[3]12當年退離(教)-性別'!C9</f>
        <v>0</v>
      </c>
      <c r="D23" s="757">
        <f>D9-'[3]12當年退離(教)-性別'!D9</f>
        <v>0</v>
      </c>
      <c r="E23" s="757">
        <f>E9-'[3]12當年退離(教)-性別'!E9</f>
        <v>0</v>
      </c>
      <c r="F23" s="757">
        <f>F9-'[3]12當年退離(教)-性別'!F9</f>
        <v>0</v>
      </c>
      <c r="G23" s="757">
        <f>G9-'[3]12當年退離(教)-性別'!G9</f>
        <v>0</v>
      </c>
      <c r="H23" s="757">
        <f>H9-'[3]12當年退離(教)-性別'!H9</f>
        <v>0</v>
      </c>
      <c r="I23" s="757">
        <f>I9-'[3]12當年退離(教)-性別'!I9</f>
        <v>0</v>
      </c>
      <c r="J23" s="757">
        <f>J9-'[3]12當年退離(教)-性別'!J9</f>
        <v>0</v>
      </c>
      <c r="K23" s="757">
        <f>K9-'[3]12當年退離(教)-性別'!K9</f>
        <v>0</v>
      </c>
      <c r="L23" s="757">
        <f>L9-'[3]12當年退離(教)-性別'!L9</f>
        <v>0</v>
      </c>
      <c r="M23" s="757">
        <f>M9-'[3]12當年退離(教)-性別'!M9</f>
        <v>0</v>
      </c>
      <c r="N23" s="757">
        <f>N9-'[3]12當年退離(教)-性別'!N9</f>
        <v>0</v>
      </c>
      <c r="O23" s="757">
        <f>O9-'[3]12當年退離(教)-性別'!O9</f>
        <v>0</v>
      </c>
    </row>
    <row r="24" spans="1:15" ht="74.25" customHeight="1">
      <c r="B24" s="757">
        <f>B10-'[3]12當年退離(教)-性別'!B10</f>
        <v>0</v>
      </c>
      <c r="C24" s="757">
        <f>C10-'[3]12當年退離(教)-性別'!C10</f>
        <v>0</v>
      </c>
      <c r="D24" s="757">
        <f>D10-'[3]12當年退離(教)-性別'!D10</f>
        <v>0</v>
      </c>
      <c r="E24" s="757">
        <f>E10-'[3]12當年退離(教)-性別'!E10</f>
        <v>0</v>
      </c>
      <c r="F24" s="757">
        <f>F10-'[3]12當年退離(教)-性別'!F10</f>
        <v>0</v>
      </c>
      <c r="G24" s="757">
        <f>G10-'[3]12當年退離(教)-性別'!G10</f>
        <v>0</v>
      </c>
      <c r="H24" s="757">
        <f>H10-'[3]12當年退離(教)-性別'!H10</f>
        <v>0</v>
      </c>
      <c r="I24" s="757">
        <f>I10-'[3]12當年退離(教)-性別'!I10</f>
        <v>0</v>
      </c>
      <c r="J24" s="757">
        <f>J10-'[3]12當年退離(教)-性別'!J10</f>
        <v>0</v>
      </c>
      <c r="K24" s="757">
        <f>K10-'[3]12當年退離(教)-性別'!K10</f>
        <v>0</v>
      </c>
      <c r="L24" s="757">
        <f>L10-'[3]12當年退離(教)-性別'!L10</f>
        <v>0</v>
      </c>
      <c r="M24" s="757">
        <f>M10-'[3]12當年退離(教)-性別'!M10</f>
        <v>0</v>
      </c>
      <c r="N24" s="757">
        <f>N10-'[3]12當年退離(教)-性別'!N10</f>
        <v>0</v>
      </c>
      <c r="O24" s="757">
        <f>O10-'[3]12當年退離(教)-性別'!O10</f>
        <v>0</v>
      </c>
    </row>
    <row r="25" spans="1:15" ht="74.25" customHeight="1">
      <c r="B25" s="757">
        <f>B11-'[3]12當年退離(教)-性別'!B11</f>
        <v>0</v>
      </c>
      <c r="C25" s="757">
        <f>C11-'[3]12當年退離(教)-性別'!C11</f>
        <v>0</v>
      </c>
      <c r="D25" s="757">
        <f>D11-'[3]12當年退離(教)-性別'!D11</f>
        <v>0</v>
      </c>
      <c r="E25" s="757">
        <f>E11-'[3]12當年退離(教)-性別'!E11</f>
        <v>0</v>
      </c>
      <c r="F25" s="757">
        <f>F11-'[3]12當年退離(教)-性別'!F11</f>
        <v>0</v>
      </c>
      <c r="G25" s="757">
        <f>G11-'[3]12當年退離(教)-性別'!G11</f>
        <v>0</v>
      </c>
      <c r="H25" s="757">
        <f>H11-'[3]12當年退離(教)-性別'!H11</f>
        <v>0</v>
      </c>
      <c r="I25" s="757">
        <f>I11-'[3]12當年退離(教)-性別'!I11</f>
        <v>0</v>
      </c>
      <c r="J25" s="757">
        <f>J11-'[3]12當年退離(教)-性別'!J11</f>
        <v>0</v>
      </c>
      <c r="K25" s="757">
        <f>K11-'[3]12當年退離(教)-性別'!K11</f>
        <v>0</v>
      </c>
      <c r="L25" s="757">
        <f>L11-'[3]12當年退離(教)-性別'!L11</f>
        <v>0</v>
      </c>
      <c r="M25" s="757">
        <f>M11-'[3]12當年退離(教)-性別'!M11</f>
        <v>0</v>
      </c>
      <c r="N25" s="757">
        <f>N11-'[3]12當年退離(教)-性別'!N11</f>
        <v>0</v>
      </c>
      <c r="O25" s="757">
        <f>O11-'[3]12當年退離(教)-性別'!O11</f>
        <v>0</v>
      </c>
    </row>
    <row r="26" spans="1:15" ht="74.25" customHeight="1">
      <c r="B26" s="757">
        <f>B12-'[3]12當年退離(教)-性別'!B12</f>
        <v>0</v>
      </c>
      <c r="C26" s="757">
        <f>C12-'[3]12當年退離(教)-性別'!C12</f>
        <v>0</v>
      </c>
      <c r="D26" s="757">
        <f>D12-'[3]12當年退離(教)-性別'!D12</f>
        <v>0</v>
      </c>
      <c r="E26" s="757">
        <f>E12-'[3]12當年退離(教)-性別'!E12</f>
        <v>0</v>
      </c>
      <c r="F26" s="757">
        <f>F12-'[3]12當年退離(教)-性別'!F12</f>
        <v>0</v>
      </c>
      <c r="G26" s="757">
        <f>G12-'[3]12當年退離(教)-性別'!G12</f>
        <v>0</v>
      </c>
      <c r="H26" s="757">
        <f>H12-'[3]12當年退離(教)-性別'!H12</f>
        <v>0</v>
      </c>
      <c r="I26" s="757">
        <f>I12-'[3]12當年退離(教)-性別'!I12</f>
        <v>0</v>
      </c>
      <c r="J26" s="757">
        <f>J12-'[3]12當年退離(教)-性別'!J12</f>
        <v>0</v>
      </c>
      <c r="K26" s="757">
        <f>K12-'[3]12當年退離(教)-性別'!K12</f>
        <v>0</v>
      </c>
      <c r="L26" s="757">
        <f>L12-'[3]12當年退離(教)-性別'!L12</f>
        <v>0</v>
      </c>
      <c r="M26" s="757">
        <f>M12-'[3]12當年退離(教)-性別'!M12</f>
        <v>0</v>
      </c>
      <c r="N26" s="757">
        <f>N12-'[3]12當年退離(教)-性別'!N12</f>
        <v>0</v>
      </c>
      <c r="O26" s="757">
        <f>O12-'[3]12當年退離(教)-性別'!O12</f>
        <v>0</v>
      </c>
    </row>
    <row r="27" spans="1:15" ht="74.25" customHeight="1">
      <c r="B27" s="757">
        <f>B13-'[3]12當年退離(教)-性別'!B13</f>
        <v>0</v>
      </c>
      <c r="C27" s="757">
        <f>C13-'[3]12當年退離(教)-性別'!C13</f>
        <v>0</v>
      </c>
      <c r="D27" s="757">
        <f>D13-'[3]12當年退離(教)-性別'!D13</f>
        <v>0</v>
      </c>
      <c r="E27" s="757">
        <f>E13-'[3]12當年退離(教)-性別'!E13</f>
        <v>0</v>
      </c>
      <c r="F27" s="757">
        <f>F13-'[3]12當年退離(教)-性別'!F13</f>
        <v>0</v>
      </c>
      <c r="G27" s="757">
        <f>G13-'[3]12當年退離(教)-性別'!G13</f>
        <v>0</v>
      </c>
      <c r="H27" s="757">
        <f>H13-'[3]12當年退離(教)-性別'!H13</f>
        <v>0</v>
      </c>
      <c r="I27" s="757">
        <f>I13-'[3]12當年退離(教)-性別'!I13</f>
        <v>0</v>
      </c>
      <c r="J27" s="757">
        <f>J13-'[3]12當年退離(教)-性別'!J13</f>
        <v>0</v>
      </c>
      <c r="K27" s="757">
        <f>K13-'[3]12當年退離(教)-性別'!K13</f>
        <v>0</v>
      </c>
      <c r="L27" s="757">
        <f>L13-'[3]12當年退離(教)-性別'!L13</f>
        <v>0</v>
      </c>
      <c r="M27" s="757">
        <f>M13-'[3]12當年退離(教)-性別'!M13</f>
        <v>0</v>
      </c>
      <c r="N27" s="757">
        <f>N13-'[3]12當年退離(教)-性別'!N13</f>
        <v>0</v>
      </c>
      <c r="O27" s="757">
        <f>O13-'[3]12當年退離(教)-性別'!O13</f>
        <v>0</v>
      </c>
    </row>
    <row r="28" spans="1:15" ht="74.25" customHeight="1">
      <c r="B28" s="757">
        <f>B14-'[3]12當年退離(教)-性別'!B14</f>
        <v>0</v>
      </c>
      <c r="C28" s="757">
        <f>C14-'[3]12當年退離(教)-性別'!C14</f>
        <v>0</v>
      </c>
      <c r="D28" s="757">
        <f>D14-'[3]12當年退離(教)-性別'!D14</f>
        <v>0</v>
      </c>
      <c r="E28" s="757">
        <f>E14-'[3]12當年退離(教)-性別'!E14</f>
        <v>0</v>
      </c>
      <c r="F28" s="757">
        <f>F14-'[3]12當年退離(教)-性別'!F14</f>
        <v>0</v>
      </c>
      <c r="G28" s="757">
        <f>G14-'[3]12當年退離(教)-性別'!G14</f>
        <v>0</v>
      </c>
      <c r="H28" s="757">
        <f>H14-'[3]12當年退離(教)-性別'!H14</f>
        <v>0</v>
      </c>
      <c r="I28" s="757">
        <f>I14-'[3]12當年退離(教)-性別'!I14</f>
        <v>0</v>
      </c>
      <c r="J28" s="757">
        <f>J14-'[3]12當年退離(教)-性別'!J14</f>
        <v>0</v>
      </c>
      <c r="K28" s="757">
        <f>K14-'[3]12當年退離(教)-性別'!K14</f>
        <v>0</v>
      </c>
      <c r="L28" s="757">
        <f>L14-'[3]12當年退離(教)-性別'!L14</f>
        <v>0</v>
      </c>
      <c r="M28" s="757">
        <f>M14-'[3]12當年退離(教)-性別'!M14</f>
        <v>0</v>
      </c>
      <c r="N28" s="757">
        <f>N14-'[3]12當年退離(教)-性別'!N14</f>
        <v>0</v>
      </c>
      <c r="O28" s="757">
        <f>O14-'[3]12當年退離(教)-性別'!O14</f>
        <v>0</v>
      </c>
    </row>
    <row r="29" spans="1:15" ht="74.25" customHeight="1">
      <c r="B29" s="757">
        <f>B15-'[3]12當年退離(教)-性別'!B15</f>
        <v>0</v>
      </c>
      <c r="C29" s="757">
        <f>C15-'[3]12當年退離(教)-性別'!C15</f>
        <v>0</v>
      </c>
      <c r="D29" s="757">
        <f>D15-'[3]12當年退離(教)-性別'!D15</f>
        <v>0</v>
      </c>
      <c r="E29" s="757">
        <f>E15-'[3]12當年退離(教)-性別'!E15</f>
        <v>0</v>
      </c>
      <c r="F29" s="757">
        <f>F15-'[3]12當年退離(教)-性別'!F15</f>
        <v>0</v>
      </c>
      <c r="G29" s="757">
        <f>G15-'[3]12當年退離(教)-性別'!G15</f>
        <v>0</v>
      </c>
      <c r="H29" s="757">
        <f>H15-'[3]12當年退離(教)-性別'!H15</f>
        <v>0</v>
      </c>
      <c r="I29" s="757">
        <f>I15-'[3]12當年退離(教)-性別'!I15</f>
        <v>0</v>
      </c>
      <c r="J29" s="757">
        <f>J15-'[3]12當年退離(教)-性別'!J15</f>
        <v>0</v>
      </c>
      <c r="K29" s="757">
        <f>K15-'[3]12當年退離(教)-性別'!K15</f>
        <v>0</v>
      </c>
      <c r="L29" s="757">
        <f>L15-'[3]12當年退離(教)-性別'!L15</f>
        <v>0</v>
      </c>
      <c r="M29" s="757">
        <f>M15-'[3]12當年退離(教)-性別'!M15</f>
        <v>0</v>
      </c>
      <c r="N29" s="757">
        <f>N15-'[3]12當年退離(教)-性別'!N15</f>
        <v>0</v>
      </c>
      <c r="O29" s="757">
        <f>O15-'[3]12當年退離(教)-性別'!O15</f>
        <v>0</v>
      </c>
    </row>
    <row r="30" spans="1:15" ht="74.25" customHeight="1">
      <c r="B30" s="757">
        <f>B16-'[3]12當年退離(教)-性別'!B16</f>
        <v>0</v>
      </c>
      <c r="C30" s="757">
        <f>C16-'[3]12當年退離(教)-性別'!C16</f>
        <v>0</v>
      </c>
      <c r="D30" s="757">
        <f>D16-'[3]12當年退離(教)-性別'!D16</f>
        <v>0</v>
      </c>
      <c r="E30" s="757">
        <f>E16-'[3]12當年退離(教)-性別'!E16</f>
        <v>0</v>
      </c>
      <c r="F30" s="757">
        <f>F16-'[3]12當年退離(教)-性別'!F16</f>
        <v>0</v>
      </c>
      <c r="G30" s="757">
        <f>G16-'[3]12當年退離(教)-性別'!G16</f>
        <v>0</v>
      </c>
      <c r="H30" s="757">
        <f>H16-'[3]12當年退離(教)-性別'!H16</f>
        <v>0</v>
      </c>
      <c r="I30" s="757">
        <f>I16-'[3]12當年退離(教)-性別'!I16</f>
        <v>0</v>
      </c>
      <c r="J30" s="757">
        <f>J16-'[3]12當年退離(教)-性別'!J16</f>
        <v>0</v>
      </c>
      <c r="K30" s="757">
        <f>K16-'[3]12當年退離(教)-性別'!K16</f>
        <v>0</v>
      </c>
      <c r="L30" s="757">
        <f>L16-'[3]12當年退離(教)-性別'!L16</f>
        <v>0</v>
      </c>
      <c r="M30" s="757">
        <f>M16-'[3]12當年退離(教)-性別'!M16</f>
        <v>0</v>
      </c>
      <c r="N30" s="757">
        <f>N16-'[3]12當年退離(教)-性別'!N16</f>
        <v>0</v>
      </c>
      <c r="O30" s="757">
        <f>O16-'[3]12當年退離(教)-性別'!O16</f>
        <v>0</v>
      </c>
    </row>
    <row r="31" spans="1:15" ht="74.25" customHeight="1">
      <c r="B31" s="757">
        <f>B17-'[3]12當年退離(教)-性別'!B17</f>
        <v>0</v>
      </c>
      <c r="C31" s="757">
        <f>C17-'[3]12當年退離(教)-性別'!C17</f>
        <v>0</v>
      </c>
      <c r="D31" s="757">
        <f>D17-'[3]12當年退離(教)-性別'!D17</f>
        <v>0</v>
      </c>
      <c r="E31" s="757">
        <f>E17-'[3]12當年退離(教)-性別'!E17</f>
        <v>0</v>
      </c>
      <c r="F31" s="757">
        <f>F17-'[3]12當年退離(教)-性別'!F17</f>
        <v>0</v>
      </c>
      <c r="G31" s="757">
        <f>G17-'[3]12當年退離(教)-性別'!G17</f>
        <v>0</v>
      </c>
      <c r="H31" s="757">
        <f>H17-'[3]12當年退離(教)-性別'!H17</f>
        <v>0</v>
      </c>
      <c r="I31" s="757">
        <f>I17-'[3]12當年退離(教)-性別'!I17</f>
        <v>0</v>
      </c>
      <c r="J31" s="757">
        <f>J17-'[3]12當年退離(教)-性別'!J17</f>
        <v>0</v>
      </c>
      <c r="K31" s="757">
        <f>K17-'[3]12當年退離(教)-性別'!K17</f>
        <v>0</v>
      </c>
      <c r="L31" s="757">
        <f>L17-'[3]12當年退離(教)-性別'!L17</f>
        <v>0</v>
      </c>
      <c r="M31" s="757">
        <f>M17-'[3]12當年退離(教)-性別'!M17</f>
        <v>0</v>
      </c>
      <c r="N31" s="757">
        <f>N17-'[3]12當年退離(教)-性別'!N17</f>
        <v>0</v>
      </c>
      <c r="O31" s="757">
        <f>O17-'[3]12當年退離(教)-性別'!O17</f>
        <v>0</v>
      </c>
    </row>
    <row r="32" spans="1:15" ht="74.25" customHeight="1">
      <c r="B32" s="757"/>
      <c r="C32" s="757"/>
      <c r="D32" s="757"/>
      <c r="E32" s="757"/>
      <c r="F32" s="757"/>
      <c r="G32" s="757"/>
      <c r="H32" s="757"/>
      <c r="I32" s="757"/>
      <c r="J32" s="757"/>
      <c r="K32" s="757"/>
      <c r="L32" s="757"/>
      <c r="M32" s="757"/>
      <c r="N32" s="757"/>
      <c r="O32" s="757"/>
    </row>
    <row r="33" spans="2:15" ht="74.25" customHeight="1">
      <c r="B33" s="757"/>
      <c r="C33" s="757"/>
      <c r="D33" s="757"/>
      <c r="E33" s="757"/>
      <c r="F33" s="757"/>
      <c r="G33" s="757"/>
      <c r="H33" s="757"/>
      <c r="I33" s="757"/>
      <c r="J33" s="757"/>
      <c r="K33" s="757"/>
      <c r="L33" s="757"/>
      <c r="M33" s="757"/>
      <c r="N33" s="757"/>
      <c r="O33" s="757"/>
    </row>
    <row r="34" spans="2:15" ht="74.25" customHeight="1">
      <c r="B34" s="757"/>
      <c r="C34" s="757"/>
      <c r="D34" s="757"/>
      <c r="E34" s="757"/>
      <c r="F34" s="757"/>
      <c r="G34" s="757"/>
      <c r="H34" s="757"/>
      <c r="I34" s="757"/>
      <c r="J34" s="757"/>
      <c r="K34" s="757"/>
      <c r="L34" s="757"/>
      <c r="M34" s="757"/>
      <c r="N34" s="757"/>
      <c r="O34" s="757"/>
    </row>
    <row r="35" spans="2:15" ht="74.25" customHeight="1">
      <c r="B35" s="757"/>
      <c r="C35" s="757"/>
      <c r="D35" s="757"/>
      <c r="E35" s="757"/>
      <c r="F35" s="757"/>
      <c r="G35" s="757"/>
      <c r="H35" s="757"/>
      <c r="I35" s="757"/>
      <c r="J35" s="757"/>
      <c r="K35" s="757"/>
      <c r="L35" s="757"/>
      <c r="M35" s="757"/>
      <c r="N35" s="757"/>
      <c r="O35" s="757"/>
    </row>
    <row r="36" spans="2:15" ht="74.25" customHeight="1">
      <c r="B36" s="757"/>
      <c r="C36" s="757"/>
      <c r="D36" s="757"/>
      <c r="E36" s="757"/>
      <c r="F36" s="757"/>
      <c r="G36" s="757"/>
      <c r="H36" s="757"/>
      <c r="I36" s="757"/>
      <c r="J36" s="757"/>
      <c r="K36" s="757"/>
      <c r="L36" s="757"/>
      <c r="M36" s="757"/>
      <c r="N36" s="757"/>
      <c r="O36" s="757"/>
    </row>
    <row r="37" spans="2:15" ht="74.25" customHeight="1">
      <c r="B37" s="757"/>
      <c r="C37" s="757"/>
      <c r="D37" s="757"/>
      <c r="E37" s="757"/>
      <c r="F37" s="757"/>
      <c r="G37" s="757"/>
      <c r="H37" s="757"/>
      <c r="I37" s="757"/>
      <c r="J37" s="757"/>
      <c r="K37" s="757"/>
      <c r="L37" s="757"/>
      <c r="M37" s="757"/>
      <c r="N37" s="757"/>
      <c r="O37" s="757"/>
    </row>
  </sheetData>
  <mergeCells count="18">
    <mergeCell ref="A18:O18"/>
    <mergeCell ref="F4:F5"/>
    <mergeCell ref="H4:H5"/>
    <mergeCell ref="A3:A5"/>
    <mergeCell ref="B3:B5"/>
    <mergeCell ref="C3:F3"/>
    <mergeCell ref="O3:O5"/>
    <mergeCell ref="L4:N4"/>
    <mergeCell ref="C4:C5"/>
    <mergeCell ref="I4:K4"/>
    <mergeCell ref="G3:G5"/>
    <mergeCell ref="D4:D5"/>
    <mergeCell ref="E4:E5"/>
    <mergeCell ref="H3:N3"/>
    <mergeCell ref="A1:H1"/>
    <mergeCell ref="I1:O1"/>
    <mergeCell ref="A2:H2"/>
    <mergeCell ref="I2:N2"/>
  </mergeCells>
  <phoneticPr fontId="3" type="noConversion"/>
  <pageMargins left="0.62992125984251968" right="0" top="0.59055118110236227" bottom="0.78740157480314965" header="0" footer="0"/>
  <pageSetup paperSize="9" fitToWidth="2" orientation="portrait" r:id="rId1"/>
  <headerFooter alignWithMargins="0"/>
  <colBreaks count="1" manualBreakCount="1">
    <brk id="8" max="17" man="1"/>
  </colBreaks>
</worksheet>
</file>

<file path=xl/worksheets/sheet15.xml><?xml version="1.0" encoding="utf-8"?>
<worksheet xmlns="http://schemas.openxmlformats.org/spreadsheetml/2006/main" xmlns:r="http://schemas.openxmlformats.org/officeDocument/2006/relationships">
  <sheetPr>
    <tabColor rgb="FFFFFF00"/>
  </sheetPr>
  <dimension ref="A1:O207"/>
  <sheetViews>
    <sheetView view="pageBreakPreview" zoomScaleNormal="85" zoomScaleSheetLayoutView="100"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2.5" style="26" customWidth="1"/>
    <col min="2" max="3" width="10.625" style="1" customWidth="1"/>
    <col min="4" max="4" width="14.875" style="1" customWidth="1"/>
    <col min="5" max="5" width="13.875" style="1" customWidth="1"/>
    <col min="6" max="6" width="19.625" style="1" customWidth="1"/>
    <col min="7" max="7" width="12.625" style="1" customWidth="1"/>
    <col min="8" max="12" width="11.5" style="1" customWidth="1"/>
    <col min="13" max="14" width="10" style="1" bestFit="1" customWidth="1"/>
    <col min="15" max="16384" width="8.125" style="1"/>
  </cols>
  <sheetData>
    <row r="1" spans="1:15" ht="33" customHeight="1">
      <c r="A1" s="778" t="s">
        <v>106</v>
      </c>
      <c r="B1" s="778"/>
      <c r="C1" s="778"/>
      <c r="D1" s="778"/>
      <c r="E1" s="778"/>
      <c r="F1" s="778"/>
      <c r="G1" s="778"/>
    </row>
    <row r="2" spans="1:15" s="2" customFormat="1" ht="33" customHeight="1">
      <c r="A2" s="792" t="s">
        <v>986</v>
      </c>
      <c r="B2" s="792"/>
      <c r="C2" s="792"/>
      <c r="D2" s="792"/>
      <c r="E2" s="792"/>
      <c r="F2" s="792"/>
      <c r="G2" s="792"/>
    </row>
    <row r="3" spans="1:15" s="2" customFormat="1" ht="29.25" customHeight="1">
      <c r="A3" s="782" t="s">
        <v>48</v>
      </c>
      <c r="B3" s="859" t="s">
        <v>49</v>
      </c>
      <c r="C3" s="860" t="s">
        <v>80</v>
      </c>
      <c r="D3" s="860"/>
      <c r="E3" s="860"/>
      <c r="F3" s="860"/>
      <c r="G3" s="783" t="s">
        <v>101</v>
      </c>
    </row>
    <row r="4" spans="1:15" s="2" customFormat="1" ht="35.450000000000003" customHeight="1">
      <c r="A4" s="782"/>
      <c r="B4" s="859"/>
      <c r="C4" s="112" t="s">
        <v>58</v>
      </c>
      <c r="D4" s="111" t="s">
        <v>102</v>
      </c>
      <c r="E4" s="111" t="s">
        <v>103</v>
      </c>
      <c r="F4" s="111" t="s">
        <v>104</v>
      </c>
      <c r="G4" s="783"/>
      <c r="I4" s="2" t="s">
        <v>1023</v>
      </c>
    </row>
    <row r="5" spans="1:15" s="6" customFormat="1" ht="25.5" customHeight="1">
      <c r="A5" s="35" t="s">
        <v>107</v>
      </c>
      <c r="B5" s="30">
        <f>C5+G5</f>
        <v>22747</v>
      </c>
      <c r="C5" s="30">
        <f>SUM(D5:F5)</f>
        <v>22728</v>
      </c>
      <c r="D5" s="30">
        <f>SUM(D8:D31)+SUM(D32:D52)</f>
        <v>9942</v>
      </c>
      <c r="E5" s="30">
        <f>SUM(E8:E31)+SUM(E32:E52)</f>
        <v>12718</v>
      </c>
      <c r="F5" s="30">
        <f>SUM(F8:F31)+SUM(F32:F52)</f>
        <v>68</v>
      </c>
      <c r="G5" s="30">
        <f>SUM(G8:G31)+SUM(G32:G52)</f>
        <v>19</v>
      </c>
      <c r="H5" s="37">
        <f>B5-'3歷年退休-OK'!B16</f>
        <v>0</v>
      </c>
      <c r="I5" s="37">
        <f>SUM(B6:B7)-B5</f>
        <v>0</v>
      </c>
      <c r="J5" s="37">
        <f t="shared" ref="J5:N5" si="0">SUM(C6:C7)-C5</f>
        <v>0</v>
      </c>
      <c r="K5" s="37">
        <f t="shared" si="0"/>
        <v>0</v>
      </c>
      <c r="L5" s="37">
        <f t="shared" si="0"/>
        <v>0</v>
      </c>
      <c r="M5" s="37">
        <f t="shared" si="0"/>
        <v>0</v>
      </c>
      <c r="N5" s="37">
        <f t="shared" si="0"/>
        <v>0</v>
      </c>
    </row>
    <row r="6" spans="1:15" s="150" customFormat="1" ht="25.5" customHeight="1">
      <c r="A6" s="174" t="s">
        <v>399</v>
      </c>
      <c r="B6" s="30">
        <f>C6+G6</f>
        <v>16190</v>
      </c>
      <c r="C6" s="30">
        <f>SUM(D6:F6)</f>
        <v>16183</v>
      </c>
      <c r="D6" s="30">
        <f>'15退休(公)-性別'!D6+'16退休(教)-性別'!D6+'17退伍(軍)-性別'!C6</f>
        <v>8737</v>
      </c>
      <c r="E6" s="30">
        <f>'15退休(公)-性別'!E6+'16退休(教)-性別'!E6+'17退伍(軍)-性別'!D6</f>
        <v>7418</v>
      </c>
      <c r="F6" s="30">
        <f>'15退休(公)-性別'!F6+'16退休(教)-性別'!F6</f>
        <v>28</v>
      </c>
      <c r="G6" s="30">
        <f>'15退休(公)-性別'!G6+'16退休(教)-性別'!G6</f>
        <v>7</v>
      </c>
      <c r="H6" s="30"/>
      <c r="I6" s="30"/>
      <c r="J6" s="30"/>
      <c r="K6" s="30"/>
      <c r="L6" s="30"/>
      <c r="M6" s="30"/>
      <c r="N6" s="30"/>
      <c r="O6" s="30"/>
    </row>
    <row r="7" spans="1:15" s="150" customFormat="1" ht="25.5" customHeight="1">
      <c r="A7" s="174" t="s">
        <v>401</v>
      </c>
      <c r="B7" s="30">
        <f>C7+G7</f>
        <v>6557</v>
      </c>
      <c r="C7" s="30">
        <f>SUM(D7:F7)</f>
        <v>6545</v>
      </c>
      <c r="D7" s="30">
        <f>'15退休(公)-性別'!D7+'16退休(教)-性別'!D7+'17退伍(軍)-性別'!C7</f>
        <v>1205</v>
      </c>
      <c r="E7" s="30">
        <f>'15退休(公)-性別'!E7+'16退休(教)-性別'!E7+'17退伍(軍)-性別'!D7</f>
        <v>5300</v>
      </c>
      <c r="F7" s="30">
        <f>'15退休(公)-性別'!F7+'16退休(教)-性別'!F7</f>
        <v>40</v>
      </c>
      <c r="G7" s="30">
        <f>'15退休(公)-性別'!G7+'16退休(教)-性別'!G7</f>
        <v>12</v>
      </c>
      <c r="H7" s="30"/>
      <c r="I7" s="30"/>
      <c r="J7" s="30"/>
      <c r="K7" s="30"/>
      <c r="L7" s="30"/>
      <c r="M7" s="30"/>
      <c r="N7" s="30"/>
      <c r="O7" s="30"/>
    </row>
    <row r="8" spans="1:15" s="6" customFormat="1" ht="25.5" customHeight="1">
      <c r="A8" s="36" t="s">
        <v>108</v>
      </c>
      <c r="B8" s="30">
        <f>C8+G8</f>
        <v>1257</v>
      </c>
      <c r="C8" s="30">
        <f>SUM(D8:F8)</f>
        <v>1257</v>
      </c>
      <c r="D8" s="30">
        <v>1257</v>
      </c>
      <c r="E8" s="30">
        <v>0</v>
      </c>
      <c r="F8" s="30">
        <v>0</v>
      </c>
      <c r="G8" s="30">
        <v>0</v>
      </c>
      <c r="H8" s="37"/>
      <c r="I8" s="37"/>
      <c r="J8" s="37"/>
      <c r="K8" s="37"/>
      <c r="L8" s="37"/>
    </row>
    <row r="9" spans="1:15" s="6" customFormat="1" ht="25.5" customHeight="1">
      <c r="A9" s="36" t="s">
        <v>12</v>
      </c>
      <c r="B9" s="30">
        <f t="shared" ref="B9:B52" si="1">C9+G9</f>
        <v>1284</v>
      </c>
      <c r="C9" s="30">
        <f t="shared" ref="C9:C52" si="2">SUM(D9:F9)</f>
        <v>1284</v>
      </c>
      <c r="D9" s="30">
        <v>1284</v>
      </c>
      <c r="E9" s="30">
        <v>0</v>
      </c>
      <c r="F9" s="30">
        <v>0</v>
      </c>
      <c r="G9" s="30">
        <v>0</v>
      </c>
      <c r="H9" s="37"/>
      <c r="I9" s="37"/>
      <c r="J9" s="37"/>
      <c r="K9" s="37"/>
      <c r="L9" s="37"/>
    </row>
    <row r="10" spans="1:15" s="6" customFormat="1" ht="25.5" customHeight="1">
      <c r="A10" s="36" t="s">
        <v>13</v>
      </c>
      <c r="B10" s="30">
        <f t="shared" si="1"/>
        <v>828</v>
      </c>
      <c r="C10" s="30">
        <f t="shared" si="2"/>
        <v>828</v>
      </c>
      <c r="D10" s="30">
        <v>828</v>
      </c>
      <c r="E10" s="30">
        <v>0</v>
      </c>
      <c r="F10" s="30">
        <v>0</v>
      </c>
      <c r="G10" s="30">
        <v>0</v>
      </c>
      <c r="H10" s="37"/>
      <c r="I10" s="37"/>
      <c r="J10" s="37"/>
      <c r="K10" s="37"/>
      <c r="L10" s="37"/>
    </row>
    <row r="11" spans="1:15" s="6" customFormat="1" ht="25.5" customHeight="1">
      <c r="A11" s="36" t="s">
        <v>14</v>
      </c>
      <c r="B11" s="30">
        <f t="shared" si="1"/>
        <v>845</v>
      </c>
      <c r="C11" s="30">
        <f t="shared" si="2"/>
        <v>845</v>
      </c>
      <c r="D11" s="30">
        <v>845</v>
      </c>
      <c r="E11" s="30">
        <v>0</v>
      </c>
      <c r="F11" s="30">
        <v>0</v>
      </c>
      <c r="G11" s="30">
        <v>0</v>
      </c>
      <c r="H11" s="37"/>
      <c r="I11" s="37"/>
      <c r="J11" s="37"/>
      <c r="K11" s="37"/>
      <c r="L11" s="37"/>
    </row>
    <row r="12" spans="1:15" s="6" customFormat="1" ht="25.5" customHeight="1">
      <c r="A12" s="36" t="s">
        <v>109</v>
      </c>
      <c r="B12" s="30">
        <f t="shared" si="1"/>
        <v>1639</v>
      </c>
      <c r="C12" s="30">
        <f t="shared" si="2"/>
        <v>1639</v>
      </c>
      <c r="D12" s="30">
        <v>1639</v>
      </c>
      <c r="E12" s="30">
        <v>0</v>
      </c>
      <c r="F12" s="30">
        <v>0</v>
      </c>
      <c r="G12" s="30">
        <v>0</v>
      </c>
      <c r="H12" s="37"/>
      <c r="I12" s="37"/>
      <c r="J12" s="37"/>
      <c r="K12" s="37"/>
      <c r="L12" s="37"/>
    </row>
    <row r="13" spans="1:15" s="6" customFormat="1" ht="25.5" customHeight="1">
      <c r="A13" s="36" t="s">
        <v>110</v>
      </c>
      <c r="B13" s="30">
        <f t="shared" si="1"/>
        <v>1174</v>
      </c>
      <c r="C13" s="30">
        <f t="shared" si="2"/>
        <v>1174</v>
      </c>
      <c r="D13" s="30">
        <v>1174</v>
      </c>
      <c r="E13" s="30">
        <v>0</v>
      </c>
      <c r="F13" s="30">
        <v>0</v>
      </c>
      <c r="G13" s="30">
        <v>0</v>
      </c>
      <c r="H13" s="37"/>
      <c r="I13" s="37"/>
      <c r="J13" s="37"/>
      <c r="K13" s="37"/>
      <c r="L13" s="37"/>
    </row>
    <row r="14" spans="1:15" s="6" customFormat="1" ht="25.5" customHeight="1">
      <c r="A14" s="36" t="s">
        <v>111</v>
      </c>
      <c r="B14" s="30">
        <f t="shared" si="1"/>
        <v>692</v>
      </c>
      <c r="C14" s="30">
        <f t="shared" si="2"/>
        <v>692</v>
      </c>
      <c r="D14" s="30">
        <v>692</v>
      </c>
      <c r="E14" s="30">
        <v>0</v>
      </c>
      <c r="F14" s="30">
        <v>0</v>
      </c>
      <c r="G14" s="30">
        <v>0</v>
      </c>
      <c r="H14" s="37"/>
      <c r="I14" s="37"/>
      <c r="J14" s="37"/>
      <c r="K14" s="37"/>
      <c r="L14" s="37"/>
    </row>
    <row r="15" spans="1:15" ht="25.5" customHeight="1">
      <c r="A15" s="36" t="s">
        <v>112</v>
      </c>
      <c r="B15" s="30">
        <f t="shared" si="1"/>
        <v>431</v>
      </c>
      <c r="C15" s="30">
        <f t="shared" si="2"/>
        <v>431</v>
      </c>
      <c r="D15" s="30">
        <v>431</v>
      </c>
      <c r="E15" s="30">
        <v>0</v>
      </c>
      <c r="F15" s="30">
        <v>0</v>
      </c>
      <c r="G15" s="30">
        <v>0</v>
      </c>
      <c r="H15" s="37"/>
      <c r="I15" s="37"/>
      <c r="J15" s="37"/>
      <c r="K15" s="37"/>
      <c r="L15" s="37"/>
      <c r="M15" s="6"/>
      <c r="N15" s="6"/>
    </row>
    <row r="16" spans="1:15" ht="25.5" customHeight="1">
      <c r="A16" s="36" t="s">
        <v>113</v>
      </c>
      <c r="B16" s="30">
        <f t="shared" si="1"/>
        <v>266</v>
      </c>
      <c r="C16" s="30">
        <f t="shared" si="2"/>
        <v>266</v>
      </c>
      <c r="D16" s="30">
        <v>266</v>
      </c>
      <c r="E16" s="30">
        <v>0</v>
      </c>
      <c r="F16" s="30">
        <v>0</v>
      </c>
      <c r="G16" s="30">
        <v>0</v>
      </c>
      <c r="H16" s="37"/>
      <c r="I16" s="37"/>
      <c r="J16" s="37"/>
      <c r="K16" s="37"/>
      <c r="L16" s="37"/>
      <c r="M16" s="6"/>
      <c r="N16" s="6"/>
    </row>
    <row r="17" spans="1:14" ht="25.5" customHeight="1">
      <c r="A17" s="36" t="s">
        <v>114</v>
      </c>
      <c r="B17" s="30">
        <f t="shared" si="1"/>
        <v>225</v>
      </c>
      <c r="C17" s="30">
        <f t="shared" si="2"/>
        <v>225</v>
      </c>
      <c r="D17" s="30">
        <v>225</v>
      </c>
      <c r="E17" s="30">
        <v>0</v>
      </c>
      <c r="F17" s="30">
        <v>0</v>
      </c>
      <c r="G17" s="30">
        <v>0</v>
      </c>
      <c r="H17" s="37"/>
      <c r="I17" s="37"/>
      <c r="J17" s="37"/>
      <c r="K17" s="37"/>
      <c r="L17" s="37"/>
      <c r="M17" s="6"/>
      <c r="N17" s="6"/>
    </row>
    <row r="18" spans="1:14" ht="25.5" customHeight="1">
      <c r="A18" s="36" t="s">
        <v>15</v>
      </c>
      <c r="B18" s="30">
        <f t="shared" si="1"/>
        <v>190</v>
      </c>
      <c r="C18" s="30">
        <f t="shared" si="2"/>
        <v>190</v>
      </c>
      <c r="D18" s="30">
        <v>190</v>
      </c>
      <c r="E18" s="30">
        <v>0</v>
      </c>
      <c r="F18" s="30">
        <v>0</v>
      </c>
      <c r="G18" s="30">
        <v>0</v>
      </c>
      <c r="H18" s="37"/>
      <c r="I18" s="37"/>
      <c r="J18" s="37"/>
      <c r="K18" s="37"/>
      <c r="L18" s="37"/>
      <c r="M18" s="6"/>
      <c r="N18" s="6"/>
    </row>
    <row r="19" spans="1:14" ht="25.5" customHeight="1">
      <c r="A19" s="36" t="s">
        <v>16</v>
      </c>
      <c r="B19" s="30">
        <f t="shared" si="1"/>
        <v>148</v>
      </c>
      <c r="C19" s="30">
        <f t="shared" si="2"/>
        <v>148</v>
      </c>
      <c r="D19" s="30">
        <v>148</v>
      </c>
      <c r="E19" s="30">
        <v>0</v>
      </c>
      <c r="F19" s="30">
        <v>0</v>
      </c>
      <c r="G19" s="30">
        <v>0</v>
      </c>
      <c r="H19" s="37"/>
      <c r="I19" s="37"/>
      <c r="J19" s="37"/>
      <c r="K19" s="37"/>
      <c r="L19" s="37"/>
      <c r="M19" s="6"/>
      <c r="N19" s="6"/>
    </row>
    <row r="20" spans="1:14" ht="25.5" customHeight="1">
      <c r="A20" s="36" t="s">
        <v>17</v>
      </c>
      <c r="B20" s="30">
        <f t="shared" si="1"/>
        <v>127</v>
      </c>
      <c r="C20" s="30">
        <f t="shared" si="2"/>
        <v>127</v>
      </c>
      <c r="D20" s="30">
        <v>127</v>
      </c>
      <c r="E20" s="30">
        <v>0</v>
      </c>
      <c r="F20" s="30">
        <v>0</v>
      </c>
      <c r="G20" s="30">
        <v>0</v>
      </c>
      <c r="H20" s="37"/>
      <c r="I20" s="37"/>
      <c r="J20" s="37"/>
      <c r="K20" s="37"/>
      <c r="L20" s="37"/>
      <c r="M20" s="6"/>
      <c r="N20" s="6"/>
    </row>
    <row r="21" spans="1:14" ht="25.5" customHeight="1">
      <c r="A21" s="36" t="s">
        <v>18</v>
      </c>
      <c r="B21" s="30">
        <f t="shared" si="1"/>
        <v>86</v>
      </c>
      <c r="C21" s="30">
        <f t="shared" si="2"/>
        <v>86</v>
      </c>
      <c r="D21" s="30">
        <v>86</v>
      </c>
      <c r="E21" s="30">
        <v>0</v>
      </c>
      <c r="F21" s="30">
        <v>0</v>
      </c>
      <c r="G21" s="30">
        <v>0</v>
      </c>
      <c r="H21" s="37"/>
      <c r="I21" s="37"/>
      <c r="J21" s="37"/>
      <c r="K21" s="37"/>
      <c r="L21" s="37"/>
      <c r="M21" s="6"/>
      <c r="N21" s="6"/>
    </row>
    <row r="22" spans="1:14" ht="25.5" customHeight="1">
      <c r="A22" s="36" t="s">
        <v>19</v>
      </c>
      <c r="B22" s="30">
        <f t="shared" si="1"/>
        <v>76</v>
      </c>
      <c r="C22" s="30">
        <f t="shared" si="2"/>
        <v>76</v>
      </c>
      <c r="D22" s="30">
        <v>76</v>
      </c>
      <c r="E22" s="30">
        <v>0</v>
      </c>
      <c r="F22" s="30">
        <v>0</v>
      </c>
      <c r="G22" s="30">
        <v>0</v>
      </c>
      <c r="H22" s="37"/>
      <c r="I22" s="37"/>
      <c r="J22" s="37"/>
      <c r="K22" s="37"/>
      <c r="L22" s="37"/>
      <c r="M22" s="6"/>
      <c r="N22" s="6"/>
    </row>
    <row r="23" spans="1:14" ht="25.5" customHeight="1">
      <c r="A23" s="36" t="s">
        <v>20</v>
      </c>
      <c r="B23" s="30">
        <f t="shared" si="1"/>
        <v>83</v>
      </c>
      <c r="C23" s="30">
        <f t="shared" si="2"/>
        <v>83</v>
      </c>
      <c r="D23" s="30">
        <v>70</v>
      </c>
      <c r="E23" s="30">
        <v>13</v>
      </c>
      <c r="F23" s="30">
        <v>0</v>
      </c>
      <c r="G23" s="30">
        <v>0</v>
      </c>
      <c r="H23" s="37"/>
      <c r="I23" s="37"/>
      <c r="J23" s="37"/>
      <c r="K23" s="37"/>
      <c r="L23" s="37"/>
      <c r="M23" s="6"/>
      <c r="N23" s="6"/>
    </row>
    <row r="24" spans="1:14" ht="25.5" customHeight="1">
      <c r="A24" s="36" t="s">
        <v>21</v>
      </c>
      <c r="B24" s="30">
        <f t="shared" si="1"/>
        <v>213</v>
      </c>
      <c r="C24" s="30">
        <f t="shared" si="2"/>
        <v>212</v>
      </c>
      <c r="D24" s="30">
        <v>28</v>
      </c>
      <c r="E24" s="30">
        <v>184</v>
      </c>
      <c r="F24" s="30">
        <v>0</v>
      </c>
      <c r="G24" s="30">
        <v>1</v>
      </c>
      <c r="H24" s="37"/>
      <c r="I24" s="37"/>
      <c r="J24" s="37"/>
      <c r="K24" s="37"/>
      <c r="L24" s="37"/>
      <c r="M24" s="6"/>
      <c r="N24" s="6"/>
    </row>
    <row r="25" spans="1:14" ht="25.5" customHeight="1">
      <c r="A25" s="36" t="s">
        <v>22</v>
      </c>
      <c r="B25" s="30">
        <f t="shared" si="1"/>
        <v>291</v>
      </c>
      <c r="C25" s="30">
        <f t="shared" si="2"/>
        <v>291</v>
      </c>
      <c r="D25" s="30">
        <v>33</v>
      </c>
      <c r="E25" s="30">
        <v>258</v>
      </c>
      <c r="F25" s="30">
        <v>0</v>
      </c>
      <c r="G25" s="30">
        <v>0</v>
      </c>
      <c r="H25" s="37"/>
      <c r="I25" s="37"/>
      <c r="J25" s="37"/>
      <c r="K25" s="37"/>
      <c r="L25" s="37"/>
      <c r="M25" s="6"/>
      <c r="N25" s="6"/>
    </row>
    <row r="26" spans="1:14" ht="25.5" customHeight="1">
      <c r="A26" s="36" t="s">
        <v>23</v>
      </c>
      <c r="B26" s="30">
        <f t="shared" si="1"/>
        <v>298</v>
      </c>
      <c r="C26" s="30">
        <f t="shared" si="2"/>
        <v>297</v>
      </c>
      <c r="D26" s="30">
        <v>27</v>
      </c>
      <c r="E26" s="30">
        <v>270</v>
      </c>
      <c r="F26" s="30">
        <v>0</v>
      </c>
      <c r="G26" s="30">
        <v>1</v>
      </c>
      <c r="H26" s="37"/>
      <c r="I26" s="37"/>
      <c r="J26" s="37"/>
      <c r="K26" s="37"/>
      <c r="L26" s="37"/>
      <c r="M26" s="6"/>
      <c r="N26" s="6"/>
    </row>
    <row r="27" spans="1:14" ht="25.5" customHeight="1">
      <c r="A27" s="36" t="s">
        <v>24</v>
      </c>
      <c r="B27" s="30">
        <f t="shared" si="1"/>
        <v>314</v>
      </c>
      <c r="C27" s="30">
        <f t="shared" si="2"/>
        <v>312</v>
      </c>
      <c r="D27" s="30">
        <v>19</v>
      </c>
      <c r="E27" s="30">
        <v>293</v>
      </c>
      <c r="F27" s="30">
        <v>0</v>
      </c>
      <c r="G27" s="30">
        <v>2</v>
      </c>
      <c r="H27" s="37"/>
      <c r="I27" s="37"/>
      <c r="J27" s="37"/>
      <c r="K27" s="37"/>
      <c r="L27" s="37"/>
      <c r="M27" s="6"/>
      <c r="N27" s="6"/>
    </row>
    <row r="28" spans="1:14" ht="25.5" customHeight="1">
      <c r="A28" s="36" t="s">
        <v>25</v>
      </c>
      <c r="B28" s="30">
        <f t="shared" si="1"/>
        <v>247</v>
      </c>
      <c r="C28" s="30">
        <f t="shared" si="2"/>
        <v>244</v>
      </c>
      <c r="D28" s="30">
        <v>9</v>
      </c>
      <c r="E28" s="30">
        <v>235</v>
      </c>
      <c r="F28" s="30">
        <v>0</v>
      </c>
      <c r="G28" s="30">
        <v>3</v>
      </c>
      <c r="H28" s="37"/>
      <c r="I28" s="37"/>
      <c r="J28" s="37"/>
      <c r="K28" s="37"/>
      <c r="L28" s="37"/>
      <c r="M28" s="6"/>
      <c r="N28" s="6"/>
    </row>
    <row r="29" spans="1:14" ht="25.5" customHeight="1">
      <c r="A29" s="36" t="s">
        <v>26</v>
      </c>
      <c r="B29" s="30">
        <f t="shared" si="1"/>
        <v>206</v>
      </c>
      <c r="C29" s="30">
        <f t="shared" si="2"/>
        <v>205</v>
      </c>
      <c r="D29" s="30">
        <v>8</v>
      </c>
      <c r="E29" s="30">
        <v>197</v>
      </c>
      <c r="F29" s="30">
        <v>0</v>
      </c>
      <c r="G29" s="30">
        <v>1</v>
      </c>
      <c r="H29" s="37"/>
      <c r="I29" s="37"/>
      <c r="J29" s="37"/>
      <c r="K29" s="37"/>
      <c r="L29" s="37"/>
      <c r="M29" s="6"/>
      <c r="N29" s="6"/>
    </row>
    <row r="30" spans="1:14" ht="25.5" customHeight="1">
      <c r="A30" s="36" t="s">
        <v>27</v>
      </c>
      <c r="B30" s="30">
        <f t="shared" si="1"/>
        <v>161</v>
      </c>
      <c r="C30" s="30">
        <f t="shared" si="2"/>
        <v>159</v>
      </c>
      <c r="D30" s="30">
        <v>26</v>
      </c>
      <c r="E30" s="30">
        <v>133</v>
      </c>
      <c r="F30" s="30">
        <v>0</v>
      </c>
      <c r="G30" s="30">
        <v>2</v>
      </c>
      <c r="H30" s="37"/>
      <c r="I30" s="37"/>
      <c r="J30" s="37"/>
      <c r="K30" s="37"/>
      <c r="L30" s="37"/>
      <c r="M30" s="6"/>
      <c r="N30" s="6"/>
    </row>
    <row r="31" spans="1:14" s="6" customFormat="1" ht="25.5" customHeight="1">
      <c r="A31" s="38" t="s">
        <v>115</v>
      </c>
      <c r="B31" s="33">
        <f t="shared" si="1"/>
        <v>115</v>
      </c>
      <c r="C31" s="34">
        <f t="shared" si="2"/>
        <v>115</v>
      </c>
      <c r="D31" s="34">
        <v>41</v>
      </c>
      <c r="E31" s="34">
        <v>73</v>
      </c>
      <c r="F31" s="34">
        <v>1</v>
      </c>
      <c r="G31" s="34">
        <v>0</v>
      </c>
      <c r="H31" s="37"/>
      <c r="I31" s="37"/>
      <c r="J31" s="37"/>
      <c r="K31" s="37"/>
      <c r="L31" s="37"/>
    </row>
    <row r="32" spans="1:14" s="6" customFormat="1" ht="25.5" customHeight="1">
      <c r="A32" s="36" t="s">
        <v>116</v>
      </c>
      <c r="B32" s="30">
        <f t="shared" si="1"/>
        <v>120</v>
      </c>
      <c r="C32" s="30">
        <f t="shared" si="2"/>
        <v>119</v>
      </c>
      <c r="D32" s="30">
        <v>42</v>
      </c>
      <c r="E32" s="30">
        <v>77</v>
      </c>
      <c r="F32" s="30">
        <v>0</v>
      </c>
      <c r="G32" s="30">
        <v>1</v>
      </c>
      <c r="H32" s="37"/>
      <c r="I32" s="37"/>
      <c r="J32" s="37"/>
      <c r="K32" s="37"/>
      <c r="L32" s="37"/>
    </row>
    <row r="33" spans="1:14" s="6" customFormat="1" ht="25.5" customHeight="1">
      <c r="A33" s="36" t="s">
        <v>117</v>
      </c>
      <c r="B33" s="30">
        <f t="shared" si="1"/>
        <v>109</v>
      </c>
      <c r="C33" s="30">
        <f t="shared" si="2"/>
        <v>108</v>
      </c>
      <c r="D33" s="30">
        <v>49</v>
      </c>
      <c r="E33" s="30">
        <v>56</v>
      </c>
      <c r="F33" s="30">
        <v>3</v>
      </c>
      <c r="G33" s="30">
        <v>1</v>
      </c>
      <c r="H33" s="37"/>
      <c r="I33" s="37"/>
      <c r="J33" s="37"/>
      <c r="K33" s="37"/>
      <c r="L33" s="37"/>
    </row>
    <row r="34" spans="1:14" s="6" customFormat="1" ht="25.5" customHeight="1">
      <c r="A34" s="36" t="s">
        <v>118</v>
      </c>
      <c r="B34" s="30">
        <f t="shared" si="1"/>
        <v>106</v>
      </c>
      <c r="C34" s="30">
        <f t="shared" si="2"/>
        <v>106</v>
      </c>
      <c r="D34" s="30">
        <v>50</v>
      </c>
      <c r="E34" s="30">
        <v>54</v>
      </c>
      <c r="F34" s="30">
        <v>2</v>
      </c>
      <c r="G34" s="30">
        <v>0</v>
      </c>
      <c r="H34" s="37"/>
      <c r="I34" s="37"/>
      <c r="J34" s="37"/>
      <c r="K34" s="37"/>
      <c r="L34" s="37"/>
    </row>
    <row r="35" spans="1:14" ht="25.5" customHeight="1">
      <c r="A35" s="36" t="s">
        <v>119</v>
      </c>
      <c r="B35" s="30">
        <f t="shared" si="1"/>
        <v>113</v>
      </c>
      <c r="C35" s="30">
        <f t="shared" si="2"/>
        <v>112</v>
      </c>
      <c r="D35" s="30">
        <v>42</v>
      </c>
      <c r="E35" s="30">
        <v>67</v>
      </c>
      <c r="F35" s="30">
        <v>3</v>
      </c>
      <c r="G35" s="30">
        <v>1</v>
      </c>
      <c r="H35" s="37"/>
      <c r="I35" s="37"/>
      <c r="J35" s="37"/>
      <c r="K35" s="37"/>
      <c r="L35" s="37"/>
      <c r="M35" s="6"/>
      <c r="N35" s="6"/>
    </row>
    <row r="36" spans="1:14" ht="25.5" customHeight="1">
      <c r="A36" s="36" t="s">
        <v>120</v>
      </c>
      <c r="B36" s="30">
        <f t="shared" si="1"/>
        <v>1578</v>
      </c>
      <c r="C36" s="30">
        <f t="shared" si="2"/>
        <v>1574</v>
      </c>
      <c r="D36" s="30">
        <v>45</v>
      </c>
      <c r="E36" s="30">
        <v>1514</v>
      </c>
      <c r="F36" s="30">
        <v>15</v>
      </c>
      <c r="G36" s="30">
        <v>4</v>
      </c>
      <c r="H36" s="37"/>
      <c r="I36" s="37"/>
      <c r="J36" s="37"/>
      <c r="K36" s="37"/>
      <c r="L36" s="37"/>
      <c r="M36" s="6"/>
      <c r="N36" s="6"/>
    </row>
    <row r="37" spans="1:14" ht="25.5" customHeight="1">
      <c r="A37" s="36" t="s">
        <v>121</v>
      </c>
      <c r="B37" s="30">
        <f t="shared" si="1"/>
        <v>733</v>
      </c>
      <c r="C37" s="30">
        <f t="shared" si="2"/>
        <v>733</v>
      </c>
      <c r="D37" s="30">
        <v>27</v>
      </c>
      <c r="E37" s="30">
        <v>701</v>
      </c>
      <c r="F37" s="30">
        <v>5</v>
      </c>
      <c r="G37" s="30">
        <v>0</v>
      </c>
      <c r="H37" s="37"/>
      <c r="I37" s="37"/>
      <c r="J37" s="37"/>
      <c r="K37" s="37"/>
      <c r="L37" s="37"/>
      <c r="M37" s="6"/>
      <c r="N37" s="6"/>
    </row>
    <row r="38" spans="1:14" ht="25.5" customHeight="1">
      <c r="A38" s="36" t="s">
        <v>122</v>
      </c>
      <c r="B38" s="30">
        <f t="shared" si="1"/>
        <v>787</v>
      </c>
      <c r="C38" s="30">
        <f t="shared" si="2"/>
        <v>785</v>
      </c>
      <c r="D38" s="30">
        <v>18</v>
      </c>
      <c r="E38" s="30">
        <v>760</v>
      </c>
      <c r="F38" s="30">
        <v>7</v>
      </c>
      <c r="G38" s="30">
        <v>2</v>
      </c>
      <c r="H38" s="37"/>
      <c r="I38" s="37"/>
      <c r="J38" s="37"/>
      <c r="K38" s="37"/>
      <c r="L38" s="37"/>
      <c r="M38" s="6"/>
      <c r="N38" s="6"/>
    </row>
    <row r="39" spans="1:14" ht="25.5" customHeight="1">
      <c r="A39" s="36" t="s">
        <v>123</v>
      </c>
      <c r="B39" s="30">
        <f t="shared" si="1"/>
        <v>659</v>
      </c>
      <c r="C39" s="30">
        <f t="shared" si="2"/>
        <v>659</v>
      </c>
      <c r="D39" s="30">
        <v>16</v>
      </c>
      <c r="E39" s="30">
        <v>641</v>
      </c>
      <c r="F39" s="30">
        <v>2</v>
      </c>
      <c r="G39" s="30">
        <v>0</v>
      </c>
      <c r="H39" s="37"/>
      <c r="I39" s="37"/>
      <c r="J39" s="37"/>
      <c r="K39" s="37"/>
      <c r="L39" s="37"/>
      <c r="M39" s="6"/>
      <c r="N39" s="6"/>
    </row>
    <row r="40" spans="1:14" ht="25.5" customHeight="1">
      <c r="A40" s="36" t="s">
        <v>124</v>
      </c>
      <c r="B40" s="30">
        <f t="shared" si="1"/>
        <v>717</v>
      </c>
      <c r="C40" s="30">
        <f t="shared" si="2"/>
        <v>717</v>
      </c>
      <c r="D40" s="30">
        <v>11</v>
      </c>
      <c r="E40" s="30">
        <v>705</v>
      </c>
      <c r="F40" s="30">
        <v>1</v>
      </c>
      <c r="G40" s="30">
        <v>0</v>
      </c>
      <c r="H40" s="37"/>
      <c r="I40" s="37"/>
      <c r="J40" s="37"/>
      <c r="K40" s="37"/>
      <c r="L40" s="37"/>
      <c r="M40" s="6"/>
      <c r="N40" s="6"/>
    </row>
    <row r="41" spans="1:14" ht="25.5" customHeight="1">
      <c r="A41" s="36" t="s">
        <v>125</v>
      </c>
      <c r="B41" s="30">
        <f t="shared" si="1"/>
        <v>793</v>
      </c>
      <c r="C41" s="30">
        <f t="shared" si="2"/>
        <v>793</v>
      </c>
      <c r="D41" s="30">
        <v>6</v>
      </c>
      <c r="E41" s="30">
        <v>786</v>
      </c>
      <c r="F41" s="30">
        <v>1</v>
      </c>
      <c r="G41" s="30">
        <v>0</v>
      </c>
      <c r="H41" s="37"/>
      <c r="I41" s="37"/>
      <c r="J41" s="37"/>
      <c r="K41" s="37"/>
      <c r="L41" s="37"/>
      <c r="M41" s="6"/>
      <c r="N41" s="6"/>
    </row>
    <row r="42" spans="1:14" ht="25.5" customHeight="1">
      <c r="A42" s="36" t="s">
        <v>126</v>
      </c>
      <c r="B42" s="30">
        <f t="shared" si="1"/>
        <v>524</v>
      </c>
      <c r="C42" s="30">
        <f t="shared" si="2"/>
        <v>524</v>
      </c>
      <c r="D42" s="30">
        <v>1</v>
      </c>
      <c r="E42" s="30">
        <v>520</v>
      </c>
      <c r="F42" s="30">
        <v>3</v>
      </c>
      <c r="G42" s="30">
        <v>0</v>
      </c>
      <c r="H42" s="37"/>
      <c r="I42" s="37"/>
      <c r="J42" s="37"/>
      <c r="K42" s="37"/>
      <c r="L42" s="37"/>
      <c r="M42" s="6"/>
      <c r="N42" s="6"/>
    </row>
    <row r="43" spans="1:14" ht="25.5" customHeight="1">
      <c r="A43" s="36" t="s">
        <v>127</v>
      </c>
      <c r="B43" s="30">
        <f t="shared" si="1"/>
        <v>466</v>
      </c>
      <c r="C43" s="30">
        <f t="shared" si="2"/>
        <v>466</v>
      </c>
      <c r="D43" s="30">
        <v>3</v>
      </c>
      <c r="E43" s="30">
        <v>462</v>
      </c>
      <c r="F43" s="30">
        <v>1</v>
      </c>
      <c r="G43" s="30">
        <v>0</v>
      </c>
      <c r="H43" s="37"/>
      <c r="I43" s="37"/>
      <c r="J43" s="37"/>
      <c r="K43" s="37"/>
      <c r="L43" s="37"/>
      <c r="M43" s="6"/>
      <c r="N43" s="6"/>
    </row>
    <row r="44" spans="1:14" ht="25.5" customHeight="1">
      <c r="A44" s="36" t="s">
        <v>128</v>
      </c>
      <c r="B44" s="30">
        <f t="shared" si="1"/>
        <v>457</v>
      </c>
      <c r="C44" s="30">
        <f t="shared" si="2"/>
        <v>457</v>
      </c>
      <c r="D44" s="30">
        <v>6</v>
      </c>
      <c r="E44" s="30">
        <v>449</v>
      </c>
      <c r="F44" s="30">
        <v>2</v>
      </c>
      <c r="G44" s="30">
        <v>0</v>
      </c>
      <c r="H44" s="37"/>
      <c r="I44" s="37"/>
      <c r="J44" s="37"/>
      <c r="K44" s="37"/>
      <c r="L44" s="37"/>
      <c r="M44" s="6"/>
      <c r="N44" s="6"/>
    </row>
    <row r="45" spans="1:14" ht="25.5" customHeight="1">
      <c r="A45" s="36" t="s">
        <v>129</v>
      </c>
      <c r="B45" s="30">
        <f t="shared" si="1"/>
        <v>516</v>
      </c>
      <c r="C45" s="30">
        <f t="shared" si="2"/>
        <v>516</v>
      </c>
      <c r="D45" s="30">
        <v>6</v>
      </c>
      <c r="E45" s="30">
        <v>509</v>
      </c>
      <c r="F45" s="30">
        <v>1</v>
      </c>
      <c r="G45" s="30">
        <v>0</v>
      </c>
      <c r="H45" s="37"/>
      <c r="I45" s="37"/>
      <c r="J45" s="37"/>
      <c r="K45" s="37"/>
      <c r="L45" s="37"/>
      <c r="M45" s="6"/>
      <c r="N45" s="6"/>
    </row>
    <row r="46" spans="1:14" ht="25.5" customHeight="1">
      <c r="A46" s="36" t="s">
        <v>130</v>
      </c>
      <c r="B46" s="30">
        <f t="shared" si="1"/>
        <v>758</v>
      </c>
      <c r="C46" s="30">
        <f t="shared" si="2"/>
        <v>758</v>
      </c>
      <c r="D46" s="30">
        <v>17</v>
      </c>
      <c r="E46" s="30">
        <v>738</v>
      </c>
      <c r="F46" s="30">
        <v>3</v>
      </c>
      <c r="G46" s="30">
        <v>0</v>
      </c>
      <c r="H46" s="37"/>
      <c r="I46" s="37"/>
      <c r="J46" s="37"/>
      <c r="K46" s="37"/>
      <c r="L46" s="37"/>
      <c r="M46" s="6"/>
      <c r="N46" s="6"/>
    </row>
    <row r="47" spans="1:14" ht="25.5" customHeight="1">
      <c r="A47" s="36" t="s">
        <v>131</v>
      </c>
      <c r="B47" s="30">
        <f t="shared" si="1"/>
        <v>375</v>
      </c>
      <c r="C47" s="30">
        <f t="shared" si="2"/>
        <v>375</v>
      </c>
      <c r="D47" s="30">
        <v>6</v>
      </c>
      <c r="E47" s="30">
        <v>369</v>
      </c>
      <c r="F47" s="30">
        <v>0</v>
      </c>
      <c r="G47" s="30">
        <v>0</v>
      </c>
      <c r="H47" s="37"/>
      <c r="I47" s="37"/>
      <c r="J47" s="37"/>
      <c r="K47" s="37"/>
      <c r="L47" s="37"/>
      <c r="M47" s="6"/>
      <c r="N47" s="6"/>
    </row>
    <row r="48" spans="1:14" ht="25.5" customHeight="1">
      <c r="A48" s="36" t="s">
        <v>132</v>
      </c>
      <c r="B48" s="30">
        <f t="shared" si="1"/>
        <v>312</v>
      </c>
      <c r="C48" s="30">
        <f t="shared" si="2"/>
        <v>312</v>
      </c>
      <c r="D48" s="30">
        <v>4</v>
      </c>
      <c r="E48" s="30">
        <v>308</v>
      </c>
      <c r="F48" s="30">
        <v>0</v>
      </c>
      <c r="G48" s="30">
        <v>0</v>
      </c>
      <c r="H48" s="37"/>
      <c r="I48" s="37"/>
      <c r="J48" s="37"/>
      <c r="K48" s="37"/>
      <c r="L48" s="37"/>
      <c r="M48" s="6"/>
      <c r="N48" s="6"/>
    </row>
    <row r="49" spans="1:12" ht="25.5" customHeight="1">
      <c r="A49" s="36" t="s">
        <v>133</v>
      </c>
      <c r="B49" s="30">
        <f t="shared" si="1"/>
        <v>291</v>
      </c>
      <c r="C49" s="30">
        <f t="shared" si="2"/>
        <v>291</v>
      </c>
      <c r="D49" s="30">
        <v>6</v>
      </c>
      <c r="E49" s="30">
        <v>285</v>
      </c>
      <c r="F49" s="30">
        <v>0</v>
      </c>
      <c r="G49" s="30">
        <v>0</v>
      </c>
      <c r="H49" s="37"/>
      <c r="I49" s="37"/>
      <c r="J49" s="37"/>
      <c r="K49" s="37"/>
      <c r="L49" s="37"/>
    </row>
    <row r="50" spans="1:12" ht="25.5" customHeight="1">
      <c r="A50" s="36" t="s">
        <v>134</v>
      </c>
      <c r="B50" s="30">
        <f t="shared" si="1"/>
        <v>429</v>
      </c>
      <c r="C50" s="30">
        <f t="shared" si="2"/>
        <v>429</v>
      </c>
      <c r="D50" s="30">
        <v>7</v>
      </c>
      <c r="E50" s="30">
        <v>421</v>
      </c>
      <c r="F50" s="30">
        <v>1</v>
      </c>
      <c r="G50" s="30">
        <v>0</v>
      </c>
      <c r="H50" s="37"/>
      <c r="I50" s="37"/>
      <c r="J50" s="37"/>
      <c r="K50" s="37"/>
      <c r="L50" s="37"/>
    </row>
    <row r="51" spans="1:12" ht="25.5" customHeight="1">
      <c r="A51" s="36" t="s">
        <v>135</v>
      </c>
      <c r="B51" s="30">
        <f t="shared" si="1"/>
        <v>1623</v>
      </c>
      <c r="C51" s="30">
        <f t="shared" si="2"/>
        <v>1623</v>
      </c>
      <c r="D51" s="30">
        <v>44</v>
      </c>
      <c r="E51" s="30">
        <v>1567</v>
      </c>
      <c r="F51" s="30">
        <v>12</v>
      </c>
      <c r="G51" s="30">
        <v>0</v>
      </c>
      <c r="H51" s="37"/>
      <c r="I51" s="37"/>
      <c r="J51" s="37"/>
      <c r="K51" s="37"/>
      <c r="L51" s="37"/>
    </row>
    <row r="52" spans="1:12" ht="25.5" customHeight="1">
      <c r="A52" s="38" t="s">
        <v>136</v>
      </c>
      <c r="B52" s="30">
        <f t="shared" si="1"/>
        <v>85</v>
      </c>
      <c r="C52" s="30">
        <f t="shared" si="2"/>
        <v>85</v>
      </c>
      <c r="D52" s="30">
        <v>7</v>
      </c>
      <c r="E52" s="30">
        <v>73</v>
      </c>
      <c r="F52" s="30">
        <v>5</v>
      </c>
      <c r="G52" s="30">
        <v>0</v>
      </c>
      <c r="H52" s="37"/>
      <c r="I52" s="37"/>
      <c r="J52" s="37"/>
      <c r="K52" s="37"/>
      <c r="L52" s="37"/>
    </row>
    <row r="53" spans="1:12" ht="25.5" customHeight="1">
      <c r="A53" s="96" t="s">
        <v>137</v>
      </c>
      <c r="B53" s="78">
        <v>42.75</v>
      </c>
      <c r="C53" s="78">
        <v>42.75</v>
      </c>
      <c r="D53" s="78">
        <v>27.42</v>
      </c>
      <c r="E53" s="78">
        <v>54.67</v>
      </c>
      <c r="F53" s="78">
        <v>55.62</v>
      </c>
      <c r="G53" s="78">
        <v>45.42</v>
      </c>
      <c r="H53" s="39"/>
      <c r="I53" s="39"/>
      <c r="J53" s="39"/>
      <c r="K53" s="39"/>
      <c r="L53" s="39"/>
    </row>
    <row r="54" spans="1:12" s="6" customFormat="1" ht="18.95" customHeight="1">
      <c r="A54" s="106" t="s">
        <v>138</v>
      </c>
      <c r="B54" s="106"/>
      <c r="C54" s="106"/>
      <c r="D54" s="106"/>
      <c r="E54" s="106"/>
      <c r="F54" s="106"/>
      <c r="G54" s="106"/>
    </row>
    <row r="55" spans="1:12" ht="18.95" customHeight="1">
      <c r="A55" s="12" t="s">
        <v>338</v>
      </c>
      <c r="B55" s="12"/>
      <c r="C55" s="12"/>
      <c r="D55" s="12"/>
      <c r="E55" s="12"/>
      <c r="F55" s="12"/>
      <c r="G55" s="12"/>
    </row>
    <row r="56" spans="1:12" ht="18.95" customHeight="1">
      <c r="A56" s="12" t="s">
        <v>139</v>
      </c>
      <c r="B56" s="12"/>
      <c r="C56" s="40"/>
      <c r="D56" s="12"/>
      <c r="E56" s="12"/>
      <c r="F56" s="12"/>
      <c r="G56" s="12"/>
    </row>
    <row r="57" spans="1:12" ht="18.95" customHeight="1">
      <c r="A57" s="12" t="s">
        <v>140</v>
      </c>
      <c r="B57" s="12"/>
      <c r="C57" s="12"/>
      <c r="D57" s="12"/>
      <c r="E57" s="12"/>
      <c r="F57" s="12"/>
      <c r="G57" s="12"/>
    </row>
    <row r="58" spans="1:12" ht="32.25" customHeight="1">
      <c r="A58" s="703" t="s">
        <v>1027</v>
      </c>
      <c r="B58" s="41">
        <f>B5-'[3]13當年退休-性別'!B5</f>
        <v>0</v>
      </c>
      <c r="C58" s="41">
        <f>C5-'[3]13當年退休-性別'!C5</f>
        <v>0</v>
      </c>
      <c r="D58" s="41">
        <f>D5-'[3]13當年退休-性別'!D5</f>
        <v>0</v>
      </c>
      <c r="E58" s="41">
        <f>E5-'[3]13當年退休-性別'!E5</f>
        <v>0</v>
      </c>
      <c r="F58" s="41">
        <f>F5-'[3]13當年退休-性別'!F5</f>
        <v>0</v>
      </c>
      <c r="G58" s="41">
        <f>G5-'[3]13當年退休-性別'!G5</f>
        <v>0</v>
      </c>
    </row>
    <row r="59" spans="1:12" ht="32.25" customHeight="1">
      <c r="B59" s="41">
        <f>B6-'[3]13當年退休-性別'!B6</f>
        <v>0</v>
      </c>
      <c r="C59" s="41">
        <f>C6-'[3]13當年退休-性別'!C6</f>
        <v>0</v>
      </c>
      <c r="D59" s="41">
        <f>D6-'[3]13當年退休-性別'!D6</f>
        <v>0</v>
      </c>
      <c r="E59" s="41">
        <f>E6-'[3]13當年退休-性別'!E6</f>
        <v>0</v>
      </c>
      <c r="F59" s="41">
        <f>F6-'[3]13當年退休-性別'!F6</f>
        <v>0</v>
      </c>
      <c r="G59" s="41">
        <f>G6-'[3]13當年退休-性別'!G6</f>
        <v>0</v>
      </c>
    </row>
    <row r="60" spans="1:12" ht="32.25" customHeight="1">
      <c r="B60" s="41">
        <f>B7-'[3]13當年退休-性別'!B7</f>
        <v>0</v>
      </c>
      <c r="C60" s="41">
        <f>C7-'[3]13當年退休-性別'!C7</f>
        <v>0</v>
      </c>
      <c r="D60" s="41">
        <f>D7-'[3]13當年退休-性別'!D7</f>
        <v>0</v>
      </c>
      <c r="E60" s="41">
        <f>E7-'[3]13當年退休-性別'!E7</f>
        <v>0</v>
      </c>
      <c r="F60" s="41">
        <f>F7-'[3]13當年退休-性別'!F7</f>
        <v>0</v>
      </c>
      <c r="G60" s="41">
        <f>G7-'[3]13當年退休-性別'!G7</f>
        <v>0</v>
      </c>
    </row>
    <row r="61" spans="1:12" ht="32.25" customHeight="1">
      <c r="B61" s="41">
        <f>B8-'[3]13當年退休-性別'!B8</f>
        <v>0</v>
      </c>
      <c r="C61" s="41">
        <f>C8-'[3]13當年退休-性別'!C8</f>
        <v>0</v>
      </c>
      <c r="D61" s="41">
        <f>D8-'[3]13當年退休-性別'!D8</f>
        <v>0</v>
      </c>
      <c r="E61" s="41">
        <f>E8-'[3]13當年退休-性別'!E8</f>
        <v>0</v>
      </c>
      <c r="F61" s="41">
        <f>F8-'[3]13當年退休-性別'!F8</f>
        <v>0</v>
      </c>
      <c r="G61" s="41">
        <f>G8-'[3]13當年退休-性別'!G8</f>
        <v>0</v>
      </c>
    </row>
    <row r="62" spans="1:12" ht="32.25" customHeight="1">
      <c r="B62" s="41">
        <f>B9-'[3]13當年退休-性別'!B9</f>
        <v>0</v>
      </c>
      <c r="C62" s="41">
        <f>C9-'[3]13當年退休-性別'!C9</f>
        <v>0</v>
      </c>
      <c r="D62" s="41">
        <f>D9-'[3]13當年退休-性別'!D9</f>
        <v>0</v>
      </c>
      <c r="E62" s="41">
        <f>E9-'[3]13當年退休-性別'!E9</f>
        <v>0</v>
      </c>
      <c r="F62" s="41">
        <f>F9-'[3]13當年退休-性別'!F9</f>
        <v>0</v>
      </c>
      <c r="G62" s="41">
        <f>G9-'[3]13當年退休-性別'!G9</f>
        <v>0</v>
      </c>
    </row>
    <row r="63" spans="1:12" ht="32.25" customHeight="1">
      <c r="B63" s="41">
        <f>B10-'[3]13當年退休-性別'!B10</f>
        <v>0</v>
      </c>
      <c r="C63" s="41">
        <f>C10-'[3]13當年退休-性別'!C10</f>
        <v>0</v>
      </c>
      <c r="D63" s="41">
        <f>D10-'[3]13當年退休-性別'!D10</f>
        <v>0</v>
      </c>
      <c r="E63" s="41">
        <f>E10-'[3]13當年退休-性別'!E10</f>
        <v>0</v>
      </c>
      <c r="F63" s="41">
        <f>F10-'[3]13當年退休-性別'!F10</f>
        <v>0</v>
      </c>
      <c r="G63" s="41">
        <f>G10-'[3]13當年退休-性別'!G10</f>
        <v>0</v>
      </c>
    </row>
    <row r="64" spans="1:12" ht="32.25" customHeight="1">
      <c r="B64" s="41">
        <f>B11-'[3]13當年退休-性別'!B11</f>
        <v>0</v>
      </c>
      <c r="C64" s="41">
        <f>C11-'[3]13當年退休-性別'!C11</f>
        <v>0</v>
      </c>
      <c r="D64" s="41">
        <f>D11-'[3]13當年退休-性別'!D11</f>
        <v>0</v>
      </c>
      <c r="E64" s="41">
        <f>E11-'[3]13當年退休-性別'!E11</f>
        <v>0</v>
      </c>
      <c r="F64" s="41">
        <f>F11-'[3]13當年退休-性別'!F11</f>
        <v>0</v>
      </c>
      <c r="G64" s="41">
        <f>G11-'[3]13當年退休-性別'!G11</f>
        <v>0</v>
      </c>
    </row>
    <row r="65" spans="2:7" ht="32.25" customHeight="1">
      <c r="B65" s="41">
        <f>B12-'[3]13當年退休-性別'!B12</f>
        <v>0</v>
      </c>
      <c r="C65" s="41">
        <f>C12-'[3]13當年退休-性別'!C12</f>
        <v>0</v>
      </c>
      <c r="D65" s="41">
        <f>D12-'[3]13當年退休-性別'!D12</f>
        <v>0</v>
      </c>
      <c r="E65" s="41">
        <f>E12-'[3]13當年退休-性別'!E12</f>
        <v>0</v>
      </c>
      <c r="F65" s="41">
        <f>F12-'[3]13當年退休-性別'!F12</f>
        <v>0</v>
      </c>
      <c r="G65" s="41">
        <f>G12-'[3]13當年退休-性別'!G12</f>
        <v>0</v>
      </c>
    </row>
    <row r="66" spans="2:7" ht="32.25" customHeight="1">
      <c r="B66" s="41">
        <f>B13-'[3]13當年退休-性別'!B13</f>
        <v>0</v>
      </c>
      <c r="C66" s="41">
        <f>C13-'[3]13當年退休-性別'!C13</f>
        <v>0</v>
      </c>
      <c r="D66" s="41">
        <f>D13-'[3]13當年退休-性別'!D13</f>
        <v>0</v>
      </c>
      <c r="E66" s="41">
        <f>E13-'[3]13當年退休-性別'!E13</f>
        <v>0</v>
      </c>
      <c r="F66" s="41">
        <f>F13-'[3]13當年退休-性別'!F13</f>
        <v>0</v>
      </c>
      <c r="G66" s="41">
        <f>G13-'[3]13當年退休-性別'!G13</f>
        <v>0</v>
      </c>
    </row>
    <row r="67" spans="2:7" ht="32.25" customHeight="1">
      <c r="B67" s="41">
        <f>B14-'[3]13當年退休-性別'!B14</f>
        <v>0</v>
      </c>
      <c r="C67" s="41">
        <f>C14-'[3]13當年退休-性別'!C14</f>
        <v>0</v>
      </c>
      <c r="D67" s="41">
        <f>D14-'[3]13當年退休-性別'!D14</f>
        <v>0</v>
      </c>
      <c r="E67" s="41">
        <f>E14-'[3]13當年退休-性別'!E14</f>
        <v>0</v>
      </c>
      <c r="F67" s="41">
        <f>F14-'[3]13當年退休-性別'!F14</f>
        <v>0</v>
      </c>
      <c r="G67" s="41">
        <f>G14-'[3]13當年退休-性別'!G14</f>
        <v>0</v>
      </c>
    </row>
    <row r="68" spans="2:7" ht="32.25" customHeight="1">
      <c r="B68" s="41">
        <f>B15-'[3]13當年退休-性別'!B15</f>
        <v>0</v>
      </c>
      <c r="C68" s="41">
        <f>C15-'[3]13當年退休-性別'!C15</f>
        <v>0</v>
      </c>
      <c r="D68" s="41">
        <f>D15-'[3]13當年退休-性別'!D15</f>
        <v>0</v>
      </c>
      <c r="E68" s="41">
        <f>E15-'[3]13當年退休-性別'!E15</f>
        <v>0</v>
      </c>
      <c r="F68" s="41">
        <f>F15-'[3]13當年退休-性別'!F15</f>
        <v>0</v>
      </c>
      <c r="G68" s="41">
        <f>G15-'[3]13當年退休-性別'!G15</f>
        <v>0</v>
      </c>
    </row>
    <row r="69" spans="2:7" ht="32.25" customHeight="1">
      <c r="B69" s="41">
        <f>B16-'[3]13當年退休-性別'!B16</f>
        <v>0</v>
      </c>
      <c r="C69" s="41">
        <f>C16-'[3]13當年退休-性別'!C16</f>
        <v>0</v>
      </c>
      <c r="D69" s="41">
        <f>D16-'[3]13當年退休-性別'!D16</f>
        <v>0</v>
      </c>
      <c r="E69" s="41">
        <f>E16-'[3]13當年退休-性別'!E16</f>
        <v>0</v>
      </c>
      <c r="F69" s="41">
        <f>F16-'[3]13當年退休-性別'!F16</f>
        <v>0</v>
      </c>
      <c r="G69" s="41">
        <f>G16-'[3]13當年退休-性別'!G16</f>
        <v>0</v>
      </c>
    </row>
    <row r="70" spans="2:7" ht="32.25" customHeight="1">
      <c r="B70" s="41">
        <f>B17-'[3]13當年退休-性別'!B17</f>
        <v>0</v>
      </c>
      <c r="C70" s="41">
        <f>C17-'[3]13當年退休-性別'!C17</f>
        <v>0</v>
      </c>
      <c r="D70" s="41">
        <f>D17-'[3]13當年退休-性別'!D17</f>
        <v>0</v>
      </c>
      <c r="E70" s="41">
        <f>E17-'[3]13當年退休-性別'!E17</f>
        <v>0</v>
      </c>
      <c r="F70" s="41">
        <f>F17-'[3]13當年退休-性別'!F17</f>
        <v>0</v>
      </c>
      <c r="G70" s="41">
        <f>G17-'[3]13當年退休-性別'!G17</f>
        <v>0</v>
      </c>
    </row>
    <row r="71" spans="2:7" ht="32.25" customHeight="1">
      <c r="B71" s="41">
        <f>B18-'[3]13當年退休-性別'!B18</f>
        <v>0</v>
      </c>
      <c r="C71" s="41">
        <f>C18-'[3]13當年退休-性別'!C18</f>
        <v>0</v>
      </c>
      <c r="D71" s="41">
        <f>D18-'[3]13當年退休-性別'!D18</f>
        <v>0</v>
      </c>
      <c r="E71" s="41">
        <f>E18-'[3]13當年退休-性別'!E18</f>
        <v>0</v>
      </c>
      <c r="F71" s="41">
        <f>F18-'[3]13當年退休-性別'!F18</f>
        <v>0</v>
      </c>
      <c r="G71" s="41">
        <f>G18-'[3]13當年退休-性別'!G18</f>
        <v>0</v>
      </c>
    </row>
    <row r="72" spans="2:7" ht="32.25" customHeight="1">
      <c r="B72" s="41">
        <f>B19-'[3]13當年退休-性別'!B19</f>
        <v>0</v>
      </c>
      <c r="C72" s="41">
        <f>C19-'[3]13當年退休-性別'!C19</f>
        <v>0</v>
      </c>
      <c r="D72" s="41">
        <f>D19-'[3]13當年退休-性別'!D19</f>
        <v>0</v>
      </c>
      <c r="E72" s="41">
        <f>E19-'[3]13當年退休-性別'!E19</f>
        <v>0</v>
      </c>
      <c r="F72" s="41">
        <f>F19-'[3]13當年退休-性別'!F19</f>
        <v>0</v>
      </c>
      <c r="G72" s="41">
        <f>G19-'[3]13當年退休-性別'!G19</f>
        <v>0</v>
      </c>
    </row>
    <row r="73" spans="2:7" ht="32.25" customHeight="1">
      <c r="B73" s="41">
        <f>B20-'[3]13當年退休-性別'!B20</f>
        <v>0</v>
      </c>
      <c r="C73" s="41">
        <f>C20-'[3]13當年退休-性別'!C20</f>
        <v>0</v>
      </c>
      <c r="D73" s="41">
        <f>D20-'[3]13當年退休-性別'!D20</f>
        <v>0</v>
      </c>
      <c r="E73" s="41">
        <f>E20-'[3]13當年退休-性別'!E20</f>
        <v>0</v>
      </c>
      <c r="F73" s="41">
        <f>F20-'[3]13當年退休-性別'!F20</f>
        <v>0</v>
      </c>
      <c r="G73" s="41">
        <f>G20-'[3]13當年退休-性別'!G20</f>
        <v>0</v>
      </c>
    </row>
    <row r="74" spans="2:7" ht="32.25" customHeight="1">
      <c r="B74" s="41">
        <f>B21-'[3]13當年退休-性別'!B21</f>
        <v>0</v>
      </c>
      <c r="C74" s="41">
        <f>C21-'[3]13當年退休-性別'!C21</f>
        <v>0</v>
      </c>
      <c r="D74" s="41">
        <f>D21-'[3]13當年退休-性別'!D21</f>
        <v>0</v>
      </c>
      <c r="E74" s="41">
        <f>E21-'[3]13當年退休-性別'!E21</f>
        <v>0</v>
      </c>
      <c r="F74" s="41">
        <f>F21-'[3]13當年退休-性別'!F21</f>
        <v>0</v>
      </c>
      <c r="G74" s="41">
        <f>G21-'[3]13當年退休-性別'!G21</f>
        <v>0</v>
      </c>
    </row>
    <row r="75" spans="2:7" ht="32.25" customHeight="1">
      <c r="B75" s="41">
        <f>B22-'[3]13當年退休-性別'!B22</f>
        <v>0</v>
      </c>
      <c r="C75" s="41">
        <f>C22-'[3]13當年退休-性別'!C22</f>
        <v>0</v>
      </c>
      <c r="D75" s="41">
        <f>D22-'[3]13當年退休-性別'!D22</f>
        <v>0</v>
      </c>
      <c r="E75" s="41">
        <f>E22-'[3]13當年退休-性別'!E22</f>
        <v>0</v>
      </c>
      <c r="F75" s="41">
        <f>F22-'[3]13當年退休-性別'!F22</f>
        <v>0</v>
      </c>
      <c r="G75" s="41">
        <f>G22-'[3]13當年退休-性別'!G22</f>
        <v>0</v>
      </c>
    </row>
    <row r="76" spans="2:7" ht="32.25" customHeight="1">
      <c r="B76" s="41">
        <f>B23-'[3]13當年退休-性別'!B23</f>
        <v>0</v>
      </c>
      <c r="C76" s="41">
        <f>C23-'[3]13當年退休-性別'!C23</f>
        <v>0</v>
      </c>
      <c r="D76" s="41">
        <f>D23-'[3]13當年退休-性別'!D23</f>
        <v>0</v>
      </c>
      <c r="E76" s="41">
        <f>E23-'[3]13當年退休-性別'!E23</f>
        <v>0</v>
      </c>
      <c r="F76" s="41">
        <f>F23-'[3]13當年退休-性別'!F23</f>
        <v>0</v>
      </c>
      <c r="G76" s="41">
        <f>G23-'[3]13當年退休-性別'!G23</f>
        <v>0</v>
      </c>
    </row>
    <row r="77" spans="2:7" ht="32.25" customHeight="1">
      <c r="B77" s="41">
        <f>B24-'[3]13當年退休-性別'!B24</f>
        <v>0</v>
      </c>
      <c r="C77" s="41">
        <f>C24-'[3]13當年退休-性別'!C24</f>
        <v>0</v>
      </c>
      <c r="D77" s="41">
        <f>D24-'[3]13當年退休-性別'!D24</f>
        <v>0</v>
      </c>
      <c r="E77" s="41">
        <f>E24-'[3]13當年退休-性別'!E24</f>
        <v>0</v>
      </c>
      <c r="F77" s="41">
        <f>F24-'[3]13當年退休-性別'!F24</f>
        <v>0</v>
      </c>
      <c r="G77" s="41">
        <f>G24-'[3]13當年退休-性別'!G24</f>
        <v>0</v>
      </c>
    </row>
    <row r="78" spans="2:7" ht="32.25" customHeight="1">
      <c r="B78" s="41">
        <f>B25-'[3]13當年退休-性別'!B25</f>
        <v>0</v>
      </c>
      <c r="C78" s="41">
        <f>C25-'[3]13當年退休-性別'!C25</f>
        <v>0</v>
      </c>
      <c r="D78" s="41">
        <f>D25-'[3]13當年退休-性別'!D25</f>
        <v>0</v>
      </c>
      <c r="E78" s="41">
        <f>E25-'[3]13當年退休-性別'!E25</f>
        <v>0</v>
      </c>
      <c r="F78" s="41">
        <f>F25-'[3]13當年退休-性別'!F25</f>
        <v>0</v>
      </c>
      <c r="G78" s="41">
        <f>G25-'[3]13當年退休-性別'!G25</f>
        <v>0</v>
      </c>
    </row>
    <row r="79" spans="2:7" ht="32.25" customHeight="1">
      <c r="B79" s="41">
        <f>B26-'[3]13當年退休-性別'!B26</f>
        <v>0</v>
      </c>
      <c r="C79" s="41">
        <f>C26-'[3]13當年退休-性別'!C26</f>
        <v>0</v>
      </c>
      <c r="D79" s="41">
        <f>D26-'[3]13當年退休-性別'!D26</f>
        <v>0</v>
      </c>
      <c r="E79" s="41">
        <f>E26-'[3]13當年退休-性別'!E26</f>
        <v>0</v>
      </c>
      <c r="F79" s="41">
        <f>F26-'[3]13當年退休-性別'!F26</f>
        <v>0</v>
      </c>
      <c r="G79" s="41">
        <f>G26-'[3]13當年退休-性別'!G26</f>
        <v>0</v>
      </c>
    </row>
    <row r="80" spans="2:7" ht="32.25" customHeight="1">
      <c r="B80" s="41">
        <f>B27-'[3]13當年退休-性別'!B27</f>
        <v>0</v>
      </c>
      <c r="C80" s="41">
        <f>C27-'[3]13當年退休-性別'!C27</f>
        <v>0</v>
      </c>
      <c r="D80" s="41">
        <f>D27-'[3]13當年退休-性別'!D27</f>
        <v>0</v>
      </c>
      <c r="E80" s="41">
        <f>E27-'[3]13當年退休-性別'!E27</f>
        <v>0</v>
      </c>
      <c r="F80" s="41">
        <f>F27-'[3]13當年退休-性別'!F27</f>
        <v>0</v>
      </c>
      <c r="G80" s="41">
        <f>G27-'[3]13當年退休-性別'!G27</f>
        <v>0</v>
      </c>
    </row>
    <row r="81" spans="2:7" ht="32.25" customHeight="1">
      <c r="B81" s="41">
        <f>B28-'[3]13當年退休-性別'!B28</f>
        <v>0</v>
      </c>
      <c r="C81" s="41">
        <f>C28-'[3]13當年退休-性別'!C28</f>
        <v>0</v>
      </c>
      <c r="D81" s="41">
        <f>D28-'[3]13當年退休-性別'!D28</f>
        <v>0</v>
      </c>
      <c r="E81" s="41">
        <f>E28-'[3]13當年退休-性別'!E28</f>
        <v>0</v>
      </c>
      <c r="F81" s="41">
        <f>F28-'[3]13當年退休-性別'!F28</f>
        <v>0</v>
      </c>
      <c r="G81" s="41">
        <f>G28-'[3]13當年退休-性別'!G28</f>
        <v>0</v>
      </c>
    </row>
    <row r="82" spans="2:7" ht="32.25" customHeight="1">
      <c r="B82" s="41">
        <f>B29-'[3]13當年退休-性別'!B29</f>
        <v>0</v>
      </c>
      <c r="C82" s="41">
        <f>C29-'[3]13當年退休-性別'!C29</f>
        <v>0</v>
      </c>
      <c r="D82" s="41">
        <f>D29-'[3]13當年退休-性別'!D29</f>
        <v>0</v>
      </c>
      <c r="E82" s="41">
        <f>E29-'[3]13當年退休-性別'!E29</f>
        <v>0</v>
      </c>
      <c r="F82" s="41">
        <f>F29-'[3]13當年退休-性別'!F29</f>
        <v>0</v>
      </c>
      <c r="G82" s="41">
        <f>G29-'[3]13當年退休-性別'!G29</f>
        <v>0</v>
      </c>
    </row>
    <row r="83" spans="2:7" ht="32.25" customHeight="1">
      <c r="B83" s="41">
        <f>B30-'[3]13當年退休-性別'!B30</f>
        <v>0</v>
      </c>
      <c r="C83" s="41">
        <f>C30-'[3]13當年退休-性別'!C30</f>
        <v>0</v>
      </c>
      <c r="D83" s="41">
        <f>D30-'[3]13當年退休-性別'!D30</f>
        <v>0</v>
      </c>
      <c r="E83" s="41">
        <f>E30-'[3]13當年退休-性別'!E30</f>
        <v>0</v>
      </c>
      <c r="F83" s="41">
        <f>F30-'[3]13當年退休-性別'!F30</f>
        <v>0</v>
      </c>
      <c r="G83" s="41">
        <f>G30-'[3]13當年退休-性別'!G30</f>
        <v>0</v>
      </c>
    </row>
    <row r="84" spans="2:7" ht="32.25" customHeight="1">
      <c r="B84" s="41">
        <f>B31-'[3]13當年退休-性別'!B31</f>
        <v>0</v>
      </c>
      <c r="C84" s="41">
        <f>C31-'[3]13當年退休-性別'!C31</f>
        <v>0</v>
      </c>
      <c r="D84" s="41">
        <f>D31-'[3]13當年退休-性別'!D31</f>
        <v>0</v>
      </c>
      <c r="E84" s="41">
        <f>E31-'[3]13當年退休-性別'!E31</f>
        <v>0</v>
      </c>
      <c r="F84" s="41">
        <f>F31-'[3]13當年退休-性別'!F31</f>
        <v>0</v>
      </c>
      <c r="G84" s="41">
        <f>G31-'[3]13當年退休-性別'!G31</f>
        <v>0</v>
      </c>
    </row>
    <row r="85" spans="2:7" ht="32.25" customHeight="1">
      <c r="B85" s="41">
        <f>B32-'[3]13當年退休-性別'!B32</f>
        <v>0</v>
      </c>
      <c r="C85" s="41">
        <f>C32-'[3]13當年退休-性別'!C32</f>
        <v>0</v>
      </c>
      <c r="D85" s="41">
        <f>D32-'[3]13當年退休-性別'!D32</f>
        <v>0</v>
      </c>
      <c r="E85" s="41">
        <f>E32-'[3]13當年退休-性別'!E32</f>
        <v>0</v>
      </c>
      <c r="F85" s="41">
        <f>F32-'[3]13當年退休-性別'!F32</f>
        <v>0</v>
      </c>
      <c r="G85" s="41">
        <f>G32-'[3]13當年退休-性別'!G32</f>
        <v>0</v>
      </c>
    </row>
    <row r="86" spans="2:7" ht="32.25" customHeight="1">
      <c r="B86" s="41">
        <f>B33-'[3]13當年退休-性別'!B33</f>
        <v>0</v>
      </c>
      <c r="C86" s="41">
        <f>C33-'[3]13當年退休-性別'!C33</f>
        <v>0</v>
      </c>
      <c r="D86" s="41">
        <f>D33-'[3]13當年退休-性別'!D33</f>
        <v>0</v>
      </c>
      <c r="E86" s="41">
        <f>E33-'[3]13當年退休-性別'!E33</f>
        <v>0</v>
      </c>
      <c r="F86" s="41">
        <f>F33-'[3]13當年退休-性別'!F33</f>
        <v>0</v>
      </c>
      <c r="G86" s="41">
        <f>G33-'[3]13當年退休-性別'!G33</f>
        <v>0</v>
      </c>
    </row>
    <row r="87" spans="2:7" ht="32.25" customHeight="1">
      <c r="B87" s="41">
        <f>B34-'[3]13當年退休-性別'!B34</f>
        <v>0</v>
      </c>
      <c r="C87" s="41">
        <f>C34-'[3]13當年退休-性別'!C34</f>
        <v>0</v>
      </c>
      <c r="D87" s="41">
        <f>D34-'[3]13當年退休-性別'!D34</f>
        <v>0</v>
      </c>
      <c r="E87" s="41">
        <f>E34-'[3]13當年退休-性別'!E34</f>
        <v>0</v>
      </c>
      <c r="F87" s="41">
        <f>F34-'[3]13當年退休-性別'!F34</f>
        <v>0</v>
      </c>
      <c r="G87" s="41">
        <f>G34-'[3]13當年退休-性別'!G34</f>
        <v>0</v>
      </c>
    </row>
    <row r="88" spans="2:7" ht="32.25" customHeight="1">
      <c r="B88" s="41">
        <f>B35-'[3]13當年退休-性別'!B35</f>
        <v>0</v>
      </c>
      <c r="C88" s="41">
        <f>C35-'[3]13當年退休-性別'!C35</f>
        <v>0</v>
      </c>
      <c r="D88" s="41">
        <f>D35-'[3]13當年退休-性別'!D35</f>
        <v>0</v>
      </c>
      <c r="E88" s="41">
        <f>E35-'[3]13當年退休-性別'!E35</f>
        <v>0</v>
      </c>
      <c r="F88" s="41">
        <f>F35-'[3]13當年退休-性別'!F35</f>
        <v>0</v>
      </c>
      <c r="G88" s="41">
        <f>G35-'[3]13當年退休-性別'!G35</f>
        <v>0</v>
      </c>
    </row>
    <row r="89" spans="2:7" ht="32.25" customHeight="1">
      <c r="B89" s="41">
        <f>B36-'[3]13當年退休-性別'!B36</f>
        <v>0</v>
      </c>
      <c r="C89" s="41">
        <f>C36-'[3]13當年退休-性別'!C36</f>
        <v>0</v>
      </c>
      <c r="D89" s="41">
        <f>D36-'[3]13當年退休-性別'!D36</f>
        <v>0</v>
      </c>
      <c r="E89" s="41">
        <f>E36-'[3]13當年退休-性別'!E36</f>
        <v>0</v>
      </c>
      <c r="F89" s="41">
        <f>F36-'[3]13當年退休-性別'!F36</f>
        <v>0</v>
      </c>
      <c r="G89" s="41">
        <f>G36-'[3]13當年退休-性別'!G36</f>
        <v>0</v>
      </c>
    </row>
    <row r="90" spans="2:7" ht="32.25" customHeight="1">
      <c r="B90" s="41">
        <f>B37-'[3]13當年退休-性別'!B37</f>
        <v>0</v>
      </c>
      <c r="C90" s="41">
        <f>C37-'[3]13當年退休-性別'!C37</f>
        <v>0</v>
      </c>
      <c r="D90" s="41">
        <f>D37-'[3]13當年退休-性別'!D37</f>
        <v>0</v>
      </c>
      <c r="E90" s="41">
        <f>E37-'[3]13當年退休-性別'!E37</f>
        <v>0</v>
      </c>
      <c r="F90" s="41">
        <f>F37-'[3]13當年退休-性別'!F37</f>
        <v>0</v>
      </c>
      <c r="G90" s="41">
        <f>G37-'[3]13當年退休-性別'!G37</f>
        <v>0</v>
      </c>
    </row>
    <row r="91" spans="2:7" ht="32.25" customHeight="1">
      <c r="B91" s="41">
        <f>B38-'[3]13當年退休-性別'!B38</f>
        <v>0</v>
      </c>
      <c r="C91" s="41">
        <f>C38-'[3]13當年退休-性別'!C38</f>
        <v>0</v>
      </c>
      <c r="D91" s="41">
        <f>D38-'[3]13當年退休-性別'!D38</f>
        <v>0</v>
      </c>
      <c r="E91" s="41">
        <f>E38-'[3]13當年退休-性別'!E38</f>
        <v>0</v>
      </c>
      <c r="F91" s="41">
        <f>F38-'[3]13當年退休-性別'!F38</f>
        <v>0</v>
      </c>
      <c r="G91" s="41">
        <f>G38-'[3]13當年退休-性別'!G38</f>
        <v>0</v>
      </c>
    </row>
    <row r="92" spans="2:7" ht="32.25" customHeight="1">
      <c r="B92" s="41">
        <f>B39-'[3]13當年退休-性別'!B39</f>
        <v>0</v>
      </c>
      <c r="C92" s="41">
        <f>C39-'[3]13當年退休-性別'!C39</f>
        <v>0</v>
      </c>
      <c r="D92" s="41">
        <f>D39-'[3]13當年退休-性別'!D39</f>
        <v>0</v>
      </c>
      <c r="E92" s="41">
        <f>E39-'[3]13當年退休-性別'!E39</f>
        <v>0</v>
      </c>
      <c r="F92" s="41">
        <f>F39-'[3]13當年退休-性別'!F39</f>
        <v>0</v>
      </c>
      <c r="G92" s="41">
        <f>G39-'[3]13當年退休-性別'!G39</f>
        <v>0</v>
      </c>
    </row>
    <row r="93" spans="2:7" ht="32.25" customHeight="1">
      <c r="B93" s="41">
        <f>B40-'[3]13當年退休-性別'!B40</f>
        <v>0</v>
      </c>
      <c r="C93" s="41">
        <f>C40-'[3]13當年退休-性別'!C40</f>
        <v>0</v>
      </c>
      <c r="D93" s="41">
        <f>D40-'[3]13當年退休-性別'!D40</f>
        <v>0</v>
      </c>
      <c r="E93" s="41">
        <f>E40-'[3]13當年退休-性別'!E40</f>
        <v>0</v>
      </c>
      <c r="F93" s="41">
        <f>F40-'[3]13當年退休-性別'!F40</f>
        <v>0</v>
      </c>
      <c r="G93" s="41">
        <f>G40-'[3]13當年退休-性別'!G40</f>
        <v>0</v>
      </c>
    </row>
    <row r="94" spans="2:7" ht="32.25" customHeight="1">
      <c r="B94" s="41">
        <f>B41-'[3]13當年退休-性別'!B41</f>
        <v>0</v>
      </c>
      <c r="C94" s="41">
        <f>C41-'[3]13當年退休-性別'!C41</f>
        <v>0</v>
      </c>
      <c r="D94" s="41">
        <f>D41-'[3]13當年退休-性別'!D41</f>
        <v>0</v>
      </c>
      <c r="E94" s="41">
        <f>E41-'[3]13當年退休-性別'!E41</f>
        <v>0</v>
      </c>
      <c r="F94" s="41">
        <f>F41-'[3]13當年退休-性別'!F41</f>
        <v>0</v>
      </c>
      <c r="G94" s="41">
        <f>G41-'[3]13當年退休-性別'!G41</f>
        <v>0</v>
      </c>
    </row>
    <row r="95" spans="2:7" ht="32.25" customHeight="1">
      <c r="B95" s="41">
        <f>B42-'[3]13當年退休-性別'!B42</f>
        <v>0</v>
      </c>
      <c r="C95" s="41">
        <f>C42-'[3]13當年退休-性別'!C42</f>
        <v>0</v>
      </c>
      <c r="D95" s="41">
        <f>D42-'[3]13當年退休-性別'!D42</f>
        <v>0</v>
      </c>
      <c r="E95" s="41">
        <f>E42-'[3]13當年退休-性別'!E42</f>
        <v>0</v>
      </c>
      <c r="F95" s="41">
        <f>F42-'[3]13當年退休-性別'!F42</f>
        <v>0</v>
      </c>
      <c r="G95" s="41">
        <f>G42-'[3]13當年退休-性別'!G42</f>
        <v>0</v>
      </c>
    </row>
    <row r="96" spans="2:7" ht="32.25" customHeight="1">
      <c r="B96" s="41">
        <f>B43-'[3]13當年退休-性別'!B43</f>
        <v>0</v>
      </c>
      <c r="C96" s="41">
        <f>C43-'[3]13當年退休-性別'!C43</f>
        <v>0</v>
      </c>
      <c r="D96" s="41">
        <f>D43-'[3]13當年退休-性別'!D43</f>
        <v>0</v>
      </c>
      <c r="E96" s="41">
        <f>E43-'[3]13當年退休-性別'!E43</f>
        <v>0</v>
      </c>
      <c r="F96" s="41">
        <f>F43-'[3]13當年退休-性別'!F43</f>
        <v>0</v>
      </c>
      <c r="G96" s="41">
        <f>G43-'[3]13當年退休-性別'!G43</f>
        <v>0</v>
      </c>
    </row>
    <row r="97" spans="2:7" ht="32.25" customHeight="1">
      <c r="B97" s="41">
        <f>B44-'[3]13當年退休-性別'!B44</f>
        <v>0</v>
      </c>
      <c r="C97" s="41">
        <f>C44-'[3]13當年退休-性別'!C44</f>
        <v>0</v>
      </c>
      <c r="D97" s="41">
        <f>D44-'[3]13當年退休-性別'!D44</f>
        <v>0</v>
      </c>
      <c r="E97" s="41">
        <f>E44-'[3]13當年退休-性別'!E44</f>
        <v>0</v>
      </c>
      <c r="F97" s="41">
        <f>F44-'[3]13當年退休-性別'!F44</f>
        <v>0</v>
      </c>
      <c r="G97" s="41">
        <f>G44-'[3]13當年退休-性別'!G44</f>
        <v>0</v>
      </c>
    </row>
    <row r="98" spans="2:7" ht="32.25" customHeight="1">
      <c r="B98" s="41">
        <f>B45-'[3]13當年退休-性別'!B45</f>
        <v>0</v>
      </c>
      <c r="C98" s="41">
        <f>C45-'[3]13當年退休-性別'!C45</f>
        <v>0</v>
      </c>
      <c r="D98" s="41">
        <f>D45-'[3]13當年退休-性別'!D45</f>
        <v>0</v>
      </c>
      <c r="E98" s="41">
        <f>E45-'[3]13當年退休-性別'!E45</f>
        <v>0</v>
      </c>
      <c r="F98" s="41">
        <f>F45-'[3]13當年退休-性別'!F45</f>
        <v>0</v>
      </c>
      <c r="G98" s="41">
        <f>G45-'[3]13當年退休-性別'!G45</f>
        <v>0</v>
      </c>
    </row>
    <row r="99" spans="2:7" ht="32.25" customHeight="1">
      <c r="B99" s="41">
        <f>B46-'[3]13當年退休-性別'!B46</f>
        <v>0</v>
      </c>
      <c r="C99" s="41">
        <f>C46-'[3]13當年退休-性別'!C46</f>
        <v>0</v>
      </c>
      <c r="D99" s="41">
        <f>D46-'[3]13當年退休-性別'!D46</f>
        <v>0</v>
      </c>
      <c r="E99" s="41">
        <f>E46-'[3]13當年退休-性別'!E46</f>
        <v>0</v>
      </c>
      <c r="F99" s="41">
        <f>F46-'[3]13當年退休-性別'!F46</f>
        <v>0</v>
      </c>
      <c r="G99" s="41">
        <f>G46-'[3]13當年退休-性別'!G46</f>
        <v>0</v>
      </c>
    </row>
    <row r="100" spans="2:7" ht="32.25" customHeight="1">
      <c r="B100" s="41">
        <f>B47-'[3]13當年退休-性別'!B47</f>
        <v>0</v>
      </c>
      <c r="C100" s="41">
        <f>C47-'[3]13當年退休-性別'!C47</f>
        <v>0</v>
      </c>
      <c r="D100" s="41">
        <f>D47-'[3]13當年退休-性別'!D47</f>
        <v>0</v>
      </c>
      <c r="E100" s="41">
        <f>E47-'[3]13當年退休-性別'!E47</f>
        <v>0</v>
      </c>
      <c r="F100" s="41">
        <f>F47-'[3]13當年退休-性別'!F47</f>
        <v>0</v>
      </c>
      <c r="G100" s="41">
        <f>G47-'[3]13當年退休-性別'!G47</f>
        <v>0</v>
      </c>
    </row>
    <row r="101" spans="2:7" ht="32.25" customHeight="1">
      <c r="B101" s="41">
        <f>B48-'[3]13當年退休-性別'!B48</f>
        <v>0</v>
      </c>
      <c r="C101" s="41">
        <f>C48-'[3]13當年退休-性別'!C48</f>
        <v>0</v>
      </c>
      <c r="D101" s="41">
        <f>D48-'[3]13當年退休-性別'!D48</f>
        <v>0</v>
      </c>
      <c r="E101" s="41">
        <f>E48-'[3]13當年退休-性別'!E48</f>
        <v>0</v>
      </c>
      <c r="F101" s="41">
        <f>F48-'[3]13當年退休-性別'!F48</f>
        <v>0</v>
      </c>
      <c r="G101" s="41">
        <f>G48-'[3]13當年退休-性別'!G48</f>
        <v>0</v>
      </c>
    </row>
    <row r="102" spans="2:7" ht="32.25" customHeight="1">
      <c r="B102" s="41">
        <f>B49-'[3]13當年退休-性別'!B49</f>
        <v>0</v>
      </c>
      <c r="C102" s="41">
        <f>C49-'[3]13當年退休-性別'!C49</f>
        <v>0</v>
      </c>
      <c r="D102" s="41">
        <f>D49-'[3]13當年退休-性別'!D49</f>
        <v>0</v>
      </c>
      <c r="E102" s="41">
        <f>E49-'[3]13當年退休-性別'!E49</f>
        <v>0</v>
      </c>
      <c r="F102" s="41">
        <f>F49-'[3]13當年退休-性別'!F49</f>
        <v>0</v>
      </c>
      <c r="G102" s="41">
        <f>G49-'[3]13當年退休-性別'!G49</f>
        <v>0</v>
      </c>
    </row>
    <row r="103" spans="2:7" ht="32.25" customHeight="1">
      <c r="B103" s="41">
        <f>B50-'[3]13當年退休-性別'!B50</f>
        <v>0</v>
      </c>
      <c r="C103" s="41">
        <f>C50-'[3]13當年退休-性別'!C50</f>
        <v>0</v>
      </c>
      <c r="D103" s="41">
        <f>D50-'[3]13當年退休-性別'!D50</f>
        <v>0</v>
      </c>
      <c r="E103" s="41">
        <f>E50-'[3]13當年退休-性別'!E50</f>
        <v>0</v>
      </c>
      <c r="F103" s="41">
        <f>F50-'[3]13當年退休-性別'!F50</f>
        <v>0</v>
      </c>
      <c r="G103" s="41">
        <f>G50-'[3]13當年退休-性別'!G50</f>
        <v>0</v>
      </c>
    </row>
    <row r="104" spans="2:7" ht="32.25" customHeight="1">
      <c r="B104" s="41">
        <f>B51-'[3]13當年退休-性別'!B51</f>
        <v>0</v>
      </c>
      <c r="C104" s="41">
        <f>C51-'[3]13當年退休-性別'!C51</f>
        <v>0</v>
      </c>
      <c r="D104" s="41">
        <f>D51-'[3]13當年退休-性別'!D51</f>
        <v>0</v>
      </c>
      <c r="E104" s="41">
        <f>E51-'[3]13當年退休-性別'!E51</f>
        <v>0</v>
      </c>
      <c r="F104" s="41">
        <f>F51-'[3]13當年退休-性別'!F51</f>
        <v>0</v>
      </c>
      <c r="G104" s="41">
        <f>G51-'[3]13當年退休-性別'!G51</f>
        <v>0</v>
      </c>
    </row>
    <row r="105" spans="2:7" ht="32.25" customHeight="1">
      <c r="B105" s="41">
        <f>B52-'[3]13當年退休-性別'!B52</f>
        <v>0</v>
      </c>
      <c r="C105" s="41">
        <f>C52-'[3]13當年退休-性別'!C52</f>
        <v>0</v>
      </c>
      <c r="D105" s="41">
        <f>D52-'[3]13當年退休-性別'!D52</f>
        <v>0</v>
      </c>
      <c r="E105" s="41">
        <f>E52-'[3]13當年退休-性別'!E52</f>
        <v>0</v>
      </c>
      <c r="F105" s="41">
        <f>F52-'[3]13當年退休-性別'!F52</f>
        <v>0</v>
      </c>
      <c r="G105" s="41">
        <f>G52-'[3]13當年退休-性別'!G52</f>
        <v>0</v>
      </c>
    </row>
    <row r="106" spans="2:7" ht="32.25" customHeight="1">
      <c r="B106" s="41"/>
      <c r="C106" s="41"/>
      <c r="D106" s="41"/>
      <c r="E106" s="41"/>
      <c r="F106" s="41"/>
      <c r="G106" s="41"/>
    </row>
    <row r="107" spans="2:7" ht="32.25" customHeight="1">
      <c r="B107" s="41"/>
      <c r="C107" s="41"/>
      <c r="D107" s="41"/>
      <c r="E107" s="41"/>
      <c r="F107" s="41"/>
      <c r="G107" s="41"/>
    </row>
    <row r="108" spans="2:7" ht="32.25" customHeight="1">
      <c r="B108" s="41"/>
      <c r="C108" s="41"/>
      <c r="D108" s="41"/>
      <c r="E108" s="41"/>
      <c r="F108" s="41"/>
      <c r="G108" s="41"/>
    </row>
    <row r="109" spans="2:7" ht="32.25" customHeight="1">
      <c r="B109" s="41"/>
      <c r="C109" s="41"/>
      <c r="D109" s="41"/>
      <c r="E109" s="41"/>
      <c r="F109" s="41"/>
      <c r="G109" s="41"/>
    </row>
    <row r="110" spans="2:7" ht="32.25" customHeight="1">
      <c r="B110" s="41"/>
      <c r="C110" s="41"/>
      <c r="D110" s="41"/>
      <c r="E110" s="41"/>
      <c r="F110" s="41"/>
      <c r="G110" s="41"/>
    </row>
    <row r="111" spans="2:7" ht="32.25" customHeight="1">
      <c r="B111" s="41"/>
      <c r="C111" s="41"/>
      <c r="D111" s="41"/>
      <c r="E111" s="41"/>
      <c r="F111" s="41"/>
      <c r="G111" s="41"/>
    </row>
    <row r="112" spans="2:7" ht="32.25" customHeight="1">
      <c r="B112" s="41"/>
      <c r="C112" s="41"/>
      <c r="D112" s="41"/>
      <c r="E112" s="41"/>
      <c r="F112" s="41"/>
      <c r="G112" s="41"/>
    </row>
    <row r="113" spans="2:7" ht="32.25" customHeight="1">
      <c r="B113" s="41"/>
      <c r="C113" s="41"/>
      <c r="D113" s="41"/>
      <c r="E113" s="41"/>
      <c r="F113" s="41"/>
      <c r="G113" s="41"/>
    </row>
    <row r="114" spans="2:7" ht="32.25" customHeight="1">
      <c r="B114" s="41"/>
      <c r="C114" s="41"/>
      <c r="D114" s="41"/>
      <c r="E114" s="41"/>
      <c r="F114" s="41"/>
      <c r="G114" s="41"/>
    </row>
    <row r="115" spans="2:7" ht="32.25" customHeight="1">
      <c r="B115" s="41"/>
      <c r="C115" s="41"/>
      <c r="D115" s="41"/>
      <c r="E115" s="41"/>
      <c r="F115" s="41"/>
      <c r="G115" s="41"/>
    </row>
    <row r="116" spans="2:7" ht="32.25" customHeight="1">
      <c r="B116" s="41"/>
      <c r="C116" s="41"/>
      <c r="D116" s="41"/>
      <c r="E116" s="41"/>
      <c r="F116" s="41"/>
      <c r="G116" s="41"/>
    </row>
    <row r="117" spans="2:7" ht="32.25" customHeight="1">
      <c r="B117" s="41"/>
      <c r="C117" s="41"/>
      <c r="D117" s="41"/>
      <c r="E117" s="41"/>
      <c r="F117" s="41"/>
      <c r="G117" s="41"/>
    </row>
    <row r="118" spans="2:7" ht="32.25" customHeight="1">
      <c r="B118" s="41"/>
      <c r="C118" s="41"/>
      <c r="D118" s="41"/>
      <c r="E118" s="41"/>
      <c r="F118" s="41"/>
      <c r="G118" s="41"/>
    </row>
    <row r="119" spans="2:7" ht="32.25" customHeight="1">
      <c r="B119" s="41"/>
      <c r="C119" s="41"/>
      <c r="D119" s="41"/>
      <c r="E119" s="41"/>
      <c r="F119" s="41"/>
      <c r="G119" s="41"/>
    </row>
    <row r="120" spans="2:7" ht="32.25" customHeight="1">
      <c r="B120" s="41"/>
      <c r="C120" s="41"/>
      <c r="D120" s="41"/>
      <c r="E120" s="41"/>
      <c r="F120" s="41"/>
      <c r="G120" s="41"/>
    </row>
    <row r="121" spans="2:7" ht="32.25" customHeight="1">
      <c r="B121" s="41"/>
      <c r="C121" s="41"/>
      <c r="D121" s="41"/>
      <c r="E121" s="41"/>
      <c r="F121" s="41"/>
      <c r="G121" s="41"/>
    </row>
    <row r="122" spans="2:7" ht="32.25" customHeight="1">
      <c r="B122" s="41"/>
      <c r="C122" s="41"/>
      <c r="D122" s="41"/>
      <c r="E122" s="41"/>
      <c r="F122" s="41"/>
      <c r="G122" s="41"/>
    </row>
    <row r="123" spans="2:7" ht="32.25" customHeight="1">
      <c r="B123" s="41"/>
      <c r="C123" s="41"/>
      <c r="D123" s="41"/>
      <c r="E123" s="41"/>
      <c r="F123" s="41"/>
      <c r="G123" s="41"/>
    </row>
    <row r="124" spans="2:7" ht="32.25" customHeight="1">
      <c r="B124" s="41"/>
      <c r="C124" s="41"/>
      <c r="D124" s="41"/>
      <c r="E124" s="41"/>
      <c r="F124" s="41"/>
      <c r="G124" s="41"/>
    </row>
    <row r="125" spans="2:7" ht="32.25" customHeight="1">
      <c r="B125" s="41"/>
      <c r="C125" s="41"/>
      <c r="D125" s="41"/>
      <c r="E125" s="41"/>
      <c r="F125" s="41"/>
      <c r="G125" s="41"/>
    </row>
    <row r="126" spans="2:7" ht="32.25" customHeight="1">
      <c r="B126" s="41"/>
      <c r="C126" s="41"/>
      <c r="D126" s="41"/>
      <c r="E126" s="41"/>
      <c r="F126" s="41"/>
      <c r="G126" s="41"/>
    </row>
    <row r="127" spans="2:7" ht="32.25" customHeight="1">
      <c r="B127" s="41"/>
      <c r="C127" s="41"/>
      <c r="D127" s="41"/>
      <c r="E127" s="41"/>
      <c r="F127" s="41"/>
      <c r="G127" s="41"/>
    </row>
    <row r="128" spans="2:7" ht="32.25" customHeight="1">
      <c r="B128" s="41"/>
      <c r="C128" s="41"/>
      <c r="D128" s="41"/>
      <c r="E128" s="41"/>
      <c r="F128" s="41"/>
      <c r="G128" s="41"/>
    </row>
    <row r="129" spans="2:7" ht="32.25" customHeight="1">
      <c r="B129" s="41"/>
      <c r="C129" s="41"/>
      <c r="D129" s="41"/>
      <c r="E129" s="41"/>
      <c r="F129" s="41"/>
      <c r="G129" s="41"/>
    </row>
    <row r="130" spans="2:7" ht="32.25" customHeight="1">
      <c r="B130" s="41"/>
      <c r="C130" s="41"/>
      <c r="D130" s="41"/>
      <c r="E130" s="41"/>
      <c r="F130" s="41"/>
      <c r="G130" s="41"/>
    </row>
    <row r="131" spans="2:7" ht="32.25" customHeight="1">
      <c r="B131" s="41"/>
      <c r="C131" s="41"/>
      <c r="D131" s="41"/>
      <c r="E131" s="41"/>
      <c r="F131" s="41"/>
      <c r="G131" s="41"/>
    </row>
    <row r="132" spans="2:7" ht="32.25" customHeight="1">
      <c r="B132" s="41"/>
      <c r="C132" s="41"/>
      <c r="D132" s="41"/>
      <c r="E132" s="41"/>
      <c r="F132" s="41"/>
      <c r="G132" s="41"/>
    </row>
    <row r="133" spans="2:7" ht="32.25" customHeight="1">
      <c r="B133" s="41"/>
      <c r="C133" s="41"/>
      <c r="D133" s="41"/>
      <c r="E133" s="41"/>
      <c r="F133" s="41"/>
      <c r="G133" s="41"/>
    </row>
    <row r="134" spans="2:7" ht="32.25" customHeight="1">
      <c r="B134" s="41"/>
      <c r="C134" s="41"/>
      <c r="D134" s="41"/>
      <c r="E134" s="41"/>
      <c r="F134" s="41"/>
      <c r="G134" s="41"/>
    </row>
    <row r="135" spans="2:7" ht="32.25" customHeight="1">
      <c r="B135" s="41"/>
      <c r="C135" s="41"/>
      <c r="D135" s="41"/>
      <c r="E135" s="41"/>
      <c r="F135" s="41"/>
      <c r="G135" s="41"/>
    </row>
    <row r="136" spans="2:7" ht="32.25" customHeight="1">
      <c r="B136" s="41"/>
      <c r="C136" s="41"/>
      <c r="D136" s="41"/>
      <c r="E136" s="41"/>
      <c r="F136" s="41"/>
      <c r="G136" s="41"/>
    </row>
    <row r="137" spans="2:7" ht="32.25" customHeight="1">
      <c r="B137" s="41"/>
      <c r="C137" s="41"/>
      <c r="D137" s="41"/>
      <c r="E137" s="41"/>
      <c r="F137" s="41"/>
      <c r="G137" s="41"/>
    </row>
    <row r="138" spans="2:7" ht="32.25" customHeight="1">
      <c r="B138" s="41"/>
      <c r="C138" s="41"/>
      <c r="D138" s="41"/>
      <c r="E138" s="41"/>
      <c r="F138" s="41"/>
      <c r="G138" s="41"/>
    </row>
    <row r="139" spans="2:7" ht="32.25" customHeight="1">
      <c r="B139" s="41"/>
      <c r="C139" s="41"/>
      <c r="D139" s="41"/>
      <c r="E139" s="41"/>
      <c r="F139" s="41"/>
      <c r="G139" s="41"/>
    </row>
    <row r="140" spans="2:7" ht="32.25" customHeight="1">
      <c r="B140" s="41"/>
      <c r="C140" s="41"/>
      <c r="D140" s="41"/>
      <c r="E140" s="41"/>
      <c r="F140" s="41"/>
      <c r="G140" s="41"/>
    </row>
    <row r="141" spans="2:7" ht="32.25" customHeight="1"/>
    <row r="142" spans="2:7" ht="32.25" customHeight="1"/>
    <row r="143" spans="2:7" ht="32.25" customHeight="1"/>
    <row r="144" spans="2:7"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sheetData>
  <mergeCells count="6">
    <mergeCell ref="A1:G1"/>
    <mergeCell ref="A2:G2"/>
    <mergeCell ref="A3:A4"/>
    <mergeCell ref="B3:B4"/>
    <mergeCell ref="C3:F3"/>
    <mergeCell ref="G3:G4"/>
  </mergeCells>
  <phoneticPr fontId="3" type="noConversion"/>
  <pageMargins left="0.62992125984251968" right="0" top="0.59055118110236227" bottom="0.42" header="0" footer="0"/>
  <pageSetup paperSize="9" scale="92" firstPageNumber="2" fitToWidth="0" fitToHeight="0" orientation="portrait" r:id="rId1"/>
  <headerFooter alignWithMargins="0"/>
  <rowBreaks count="1" manualBreakCount="1">
    <brk id="31" max="16383" man="1"/>
  </rowBreaks>
</worksheet>
</file>

<file path=xl/worksheets/sheet16.xml><?xml version="1.0" encoding="utf-8"?>
<worksheet xmlns="http://schemas.openxmlformats.org/spreadsheetml/2006/main" xmlns:r="http://schemas.openxmlformats.org/officeDocument/2006/relationships">
  <sheetPr>
    <tabColor indexed="13"/>
  </sheetPr>
  <dimension ref="A1:O180"/>
  <sheetViews>
    <sheetView view="pageBreakPreview" zoomScale="90" zoomScaleNormal="100" zoomScaleSheetLayoutView="90" workbookViewId="0">
      <pane xSplit="1" ySplit="3" topLeftCell="B4"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4.125" style="26" customWidth="1"/>
    <col min="2" max="4" width="16.625" style="1" customWidth="1"/>
    <col min="5" max="5" width="21" style="1" customWidth="1"/>
    <col min="6" max="16384" width="8.125" style="1"/>
  </cols>
  <sheetData>
    <row r="1" spans="1:15" ht="33" customHeight="1">
      <c r="A1" s="778" t="s">
        <v>141</v>
      </c>
      <c r="B1" s="778"/>
      <c r="C1" s="778"/>
      <c r="D1" s="778"/>
      <c r="E1" s="778"/>
    </row>
    <row r="2" spans="1:15" s="2" customFormat="1" ht="33" customHeight="1">
      <c r="A2" s="792" t="s">
        <v>404</v>
      </c>
      <c r="B2" s="792"/>
      <c r="C2" s="792"/>
      <c r="D2" s="792"/>
      <c r="E2" s="115" t="s">
        <v>28</v>
      </c>
    </row>
    <row r="3" spans="1:15" s="2" customFormat="1" ht="35.450000000000003" customHeight="1">
      <c r="A3" s="98" t="s">
        <v>48</v>
      </c>
      <c r="B3" s="100" t="s">
        <v>49</v>
      </c>
      <c r="C3" s="100" t="s">
        <v>69</v>
      </c>
      <c r="D3" s="100" t="s">
        <v>70</v>
      </c>
      <c r="E3" s="101" t="s">
        <v>95</v>
      </c>
      <c r="F3" s="3"/>
      <c r="G3" s="2" t="s">
        <v>1023</v>
      </c>
    </row>
    <row r="4" spans="1:15" s="6" customFormat="1" ht="26.45" customHeight="1">
      <c r="A4" s="42" t="s">
        <v>107</v>
      </c>
      <c r="B4" s="5">
        <f t="shared" ref="B4:B28" si="0">SUM(C4:E4)</f>
        <v>0</v>
      </c>
      <c r="C4" s="5">
        <f>SUM(C7:C28)</f>
        <v>0</v>
      </c>
      <c r="D4" s="5">
        <f>SUM(D7:D28)</f>
        <v>0</v>
      </c>
      <c r="E4" s="5">
        <f>SUM(E7:E28)</f>
        <v>0</v>
      </c>
      <c r="F4" s="37">
        <f>B4-'10當年退離(政)-性別'!C6</f>
        <v>0</v>
      </c>
      <c r="G4" s="37">
        <f>SUM(B5:B6)-B4</f>
        <v>0</v>
      </c>
      <c r="H4" s="37">
        <f t="shared" ref="H4:J4" si="1">SUM(C5:C6)-C4</f>
        <v>0</v>
      </c>
      <c r="I4" s="37">
        <f t="shared" si="1"/>
        <v>0</v>
      </c>
      <c r="J4" s="37">
        <f t="shared" si="1"/>
        <v>0</v>
      </c>
      <c r="K4" s="37"/>
      <c r="L4" s="37"/>
    </row>
    <row r="5" spans="1:15" s="150" customFormat="1" ht="25.5" customHeight="1">
      <c r="A5" s="154" t="s">
        <v>399</v>
      </c>
      <c r="B5" s="5">
        <f t="shared" si="0"/>
        <v>0</v>
      </c>
      <c r="C5" s="5">
        <v>0</v>
      </c>
      <c r="D5" s="5">
        <v>0</v>
      </c>
      <c r="E5" s="5">
        <v>0</v>
      </c>
      <c r="F5" s="30"/>
      <c r="G5" s="30"/>
      <c r="H5" s="30"/>
      <c r="I5" s="30"/>
      <c r="J5" s="30"/>
      <c r="K5" s="30"/>
      <c r="L5" s="30"/>
      <c r="M5" s="30"/>
      <c r="N5" s="30"/>
      <c r="O5" s="30"/>
    </row>
    <row r="6" spans="1:15" s="150" customFormat="1" ht="25.5" customHeight="1">
      <c r="A6" s="154" t="s">
        <v>401</v>
      </c>
      <c r="B6" s="5">
        <f t="shared" si="0"/>
        <v>0</v>
      </c>
      <c r="C6" s="5">
        <v>0</v>
      </c>
      <c r="D6" s="5">
        <v>0</v>
      </c>
      <c r="E6" s="5">
        <v>0</v>
      </c>
      <c r="F6" s="30"/>
      <c r="G6" s="30"/>
      <c r="H6" s="30"/>
      <c r="I6" s="30"/>
      <c r="J6" s="30"/>
      <c r="K6" s="30"/>
      <c r="L6" s="30"/>
      <c r="M6" s="30"/>
      <c r="N6" s="30"/>
      <c r="O6" s="30"/>
    </row>
    <row r="7" spans="1:15" s="6" customFormat="1" ht="26.45" customHeight="1">
      <c r="A7" s="43" t="s">
        <v>142</v>
      </c>
      <c r="B7" s="5">
        <f t="shared" si="0"/>
        <v>0</v>
      </c>
      <c r="C7" s="5">
        <v>0</v>
      </c>
      <c r="D7" s="5">
        <v>0</v>
      </c>
      <c r="E7" s="5">
        <v>0</v>
      </c>
      <c r="F7" s="37"/>
    </row>
    <row r="8" spans="1:15" s="6" customFormat="1" ht="26.45" customHeight="1">
      <c r="A8" s="43" t="s">
        <v>116</v>
      </c>
      <c r="B8" s="5">
        <f t="shared" si="0"/>
        <v>0</v>
      </c>
      <c r="C8" s="5">
        <v>0</v>
      </c>
      <c r="D8" s="5">
        <v>0</v>
      </c>
      <c r="E8" s="5">
        <v>0</v>
      </c>
    </row>
    <row r="9" spans="1:15" s="6" customFormat="1" ht="26.45" customHeight="1">
      <c r="A9" s="43" t="s">
        <v>117</v>
      </c>
      <c r="B9" s="5">
        <f t="shared" si="0"/>
        <v>0</v>
      </c>
      <c r="C9" s="5">
        <v>0</v>
      </c>
      <c r="D9" s="5">
        <v>0</v>
      </c>
      <c r="E9" s="5">
        <v>0</v>
      </c>
    </row>
    <row r="10" spans="1:15" s="6" customFormat="1" ht="26.45" customHeight="1">
      <c r="A10" s="43" t="s">
        <v>118</v>
      </c>
      <c r="B10" s="5">
        <f t="shared" si="0"/>
        <v>0</v>
      </c>
      <c r="C10" s="5">
        <v>0</v>
      </c>
      <c r="D10" s="5">
        <v>0</v>
      </c>
      <c r="E10" s="5">
        <v>0</v>
      </c>
    </row>
    <row r="11" spans="1:15" ht="26.45" customHeight="1">
      <c r="A11" s="43" t="s">
        <v>119</v>
      </c>
      <c r="B11" s="5">
        <f t="shared" si="0"/>
        <v>0</v>
      </c>
      <c r="C11" s="5">
        <v>0</v>
      </c>
      <c r="D11" s="5">
        <v>0</v>
      </c>
      <c r="E11" s="5">
        <v>0</v>
      </c>
    </row>
    <row r="12" spans="1:15" ht="26.45" customHeight="1">
      <c r="A12" s="43" t="s">
        <v>120</v>
      </c>
      <c r="B12" s="5">
        <f t="shared" si="0"/>
        <v>0</v>
      </c>
      <c r="C12" s="5">
        <v>0</v>
      </c>
      <c r="D12" s="5">
        <v>0</v>
      </c>
      <c r="E12" s="5">
        <v>0</v>
      </c>
    </row>
    <row r="13" spans="1:15" ht="26.45" customHeight="1">
      <c r="A13" s="43" t="s">
        <v>121</v>
      </c>
      <c r="B13" s="5">
        <f t="shared" si="0"/>
        <v>0</v>
      </c>
      <c r="C13" s="5">
        <v>0</v>
      </c>
      <c r="D13" s="5">
        <v>0</v>
      </c>
      <c r="E13" s="5">
        <v>0</v>
      </c>
    </row>
    <row r="14" spans="1:15" ht="26.45" customHeight="1">
      <c r="A14" s="43" t="s">
        <v>122</v>
      </c>
      <c r="B14" s="5">
        <f t="shared" si="0"/>
        <v>0</v>
      </c>
      <c r="C14" s="5">
        <v>0</v>
      </c>
      <c r="D14" s="5">
        <v>0</v>
      </c>
      <c r="E14" s="5">
        <v>0</v>
      </c>
    </row>
    <row r="15" spans="1:15" ht="26.45" customHeight="1">
      <c r="A15" s="43" t="s">
        <v>123</v>
      </c>
      <c r="B15" s="5">
        <f t="shared" si="0"/>
        <v>0</v>
      </c>
      <c r="C15" s="5">
        <v>0</v>
      </c>
      <c r="D15" s="5">
        <v>0</v>
      </c>
      <c r="E15" s="5">
        <v>0</v>
      </c>
    </row>
    <row r="16" spans="1:15" ht="26.45" customHeight="1">
      <c r="A16" s="43" t="s">
        <v>124</v>
      </c>
      <c r="B16" s="5">
        <f t="shared" si="0"/>
        <v>0</v>
      </c>
      <c r="C16" s="5">
        <v>0</v>
      </c>
      <c r="D16" s="5">
        <v>0</v>
      </c>
      <c r="E16" s="5">
        <v>0</v>
      </c>
    </row>
    <row r="17" spans="1:15" ht="26.45" customHeight="1">
      <c r="A17" s="43" t="s">
        <v>125</v>
      </c>
      <c r="B17" s="5">
        <f t="shared" si="0"/>
        <v>0</v>
      </c>
      <c r="C17" s="5">
        <v>0</v>
      </c>
      <c r="D17" s="5">
        <v>0</v>
      </c>
      <c r="E17" s="5">
        <v>0</v>
      </c>
    </row>
    <row r="18" spans="1:15" ht="26.45" customHeight="1">
      <c r="A18" s="43" t="s">
        <v>126</v>
      </c>
      <c r="B18" s="5">
        <f t="shared" si="0"/>
        <v>0</v>
      </c>
      <c r="C18" s="5">
        <v>0</v>
      </c>
      <c r="D18" s="5">
        <v>0</v>
      </c>
      <c r="E18" s="5">
        <v>0</v>
      </c>
    </row>
    <row r="19" spans="1:15" ht="26.45" customHeight="1">
      <c r="A19" s="43" t="s">
        <v>127</v>
      </c>
      <c r="B19" s="5">
        <f t="shared" si="0"/>
        <v>0</v>
      </c>
      <c r="C19" s="5">
        <v>0</v>
      </c>
      <c r="D19" s="5">
        <v>0</v>
      </c>
      <c r="E19" s="5">
        <v>0</v>
      </c>
    </row>
    <row r="20" spans="1:15" ht="26.45" customHeight="1">
      <c r="A20" s="43" t="s">
        <v>128</v>
      </c>
      <c r="B20" s="5">
        <f t="shared" si="0"/>
        <v>0</v>
      </c>
      <c r="C20" s="5">
        <v>0</v>
      </c>
      <c r="D20" s="5">
        <v>0</v>
      </c>
      <c r="E20" s="5">
        <v>0</v>
      </c>
    </row>
    <row r="21" spans="1:15" ht="26.45" customHeight="1">
      <c r="A21" s="43" t="s">
        <v>129</v>
      </c>
      <c r="B21" s="5">
        <f t="shared" si="0"/>
        <v>0</v>
      </c>
      <c r="C21" s="5">
        <v>0</v>
      </c>
      <c r="D21" s="5">
        <v>0</v>
      </c>
      <c r="E21" s="5">
        <v>0</v>
      </c>
    </row>
    <row r="22" spans="1:15" ht="26.45" customHeight="1">
      <c r="A22" s="43" t="s">
        <v>130</v>
      </c>
      <c r="B22" s="5">
        <f t="shared" si="0"/>
        <v>0</v>
      </c>
      <c r="C22" s="5">
        <v>0</v>
      </c>
      <c r="D22" s="5">
        <v>0</v>
      </c>
      <c r="E22" s="5">
        <v>0</v>
      </c>
    </row>
    <row r="23" spans="1:15" ht="26.45" customHeight="1">
      <c r="A23" s="43" t="s">
        <v>131</v>
      </c>
      <c r="B23" s="5">
        <f t="shared" si="0"/>
        <v>0</v>
      </c>
      <c r="C23" s="5">
        <v>0</v>
      </c>
      <c r="D23" s="5">
        <v>0</v>
      </c>
      <c r="E23" s="5">
        <v>0</v>
      </c>
    </row>
    <row r="24" spans="1:15" ht="26.45" customHeight="1">
      <c r="A24" s="43" t="s">
        <v>132</v>
      </c>
      <c r="B24" s="5">
        <f t="shared" si="0"/>
        <v>0</v>
      </c>
      <c r="C24" s="5">
        <v>0</v>
      </c>
      <c r="D24" s="5">
        <v>0</v>
      </c>
      <c r="E24" s="5">
        <v>0</v>
      </c>
    </row>
    <row r="25" spans="1:15" ht="26.45" customHeight="1">
      <c r="A25" s="43" t="s">
        <v>133</v>
      </c>
      <c r="B25" s="5">
        <f t="shared" si="0"/>
        <v>0</v>
      </c>
      <c r="C25" s="5">
        <v>0</v>
      </c>
      <c r="D25" s="5">
        <v>0</v>
      </c>
      <c r="E25" s="5">
        <v>0</v>
      </c>
    </row>
    <row r="26" spans="1:15" ht="26.45" customHeight="1">
      <c r="A26" s="43" t="s">
        <v>134</v>
      </c>
      <c r="B26" s="5">
        <f t="shared" si="0"/>
        <v>0</v>
      </c>
      <c r="C26" s="5">
        <v>0</v>
      </c>
      <c r="D26" s="5">
        <v>0</v>
      </c>
      <c r="E26" s="5">
        <v>0</v>
      </c>
    </row>
    <row r="27" spans="1:15" ht="26.45" customHeight="1">
      <c r="A27" s="43" t="s">
        <v>135</v>
      </c>
      <c r="B27" s="5">
        <f t="shared" si="0"/>
        <v>0</v>
      </c>
      <c r="C27" s="5">
        <v>0</v>
      </c>
      <c r="D27" s="5">
        <v>0</v>
      </c>
      <c r="E27" s="5">
        <v>0</v>
      </c>
    </row>
    <row r="28" spans="1:15" ht="26.45" customHeight="1">
      <c r="A28" s="44" t="s">
        <v>136</v>
      </c>
      <c r="B28" s="5">
        <f t="shared" si="0"/>
        <v>0</v>
      </c>
      <c r="C28" s="5">
        <v>0</v>
      </c>
      <c r="D28" s="5">
        <v>0</v>
      </c>
      <c r="E28" s="5">
        <v>0</v>
      </c>
    </row>
    <row r="29" spans="1:15" ht="26.45" customHeight="1">
      <c r="A29" s="98" t="s">
        <v>137</v>
      </c>
      <c r="B29" s="94">
        <v>0</v>
      </c>
      <c r="C29" s="94">
        <v>0</v>
      </c>
      <c r="D29" s="94">
        <v>0</v>
      </c>
      <c r="E29" s="94">
        <v>0</v>
      </c>
      <c r="F29" s="29"/>
      <c r="G29" s="29"/>
      <c r="H29" s="29"/>
      <c r="I29" s="29"/>
      <c r="J29" s="29"/>
      <c r="K29" s="29"/>
      <c r="L29" s="29"/>
      <c r="M29" s="29"/>
      <c r="N29" s="29"/>
      <c r="O29" s="29"/>
    </row>
    <row r="30" spans="1:15" s="29" customFormat="1" ht="20.100000000000001" customHeight="1">
      <c r="A30" s="106" t="s">
        <v>143</v>
      </c>
      <c r="B30" s="106"/>
      <c r="C30" s="106"/>
      <c r="D30" s="106"/>
      <c r="E30" s="106"/>
      <c r="F30" s="106"/>
      <c r="G30" s="106"/>
      <c r="H30" s="106"/>
      <c r="I30" s="106"/>
      <c r="J30" s="106"/>
      <c r="K30" s="106"/>
      <c r="L30" s="106"/>
      <c r="M30" s="106"/>
      <c r="N30" s="106"/>
      <c r="O30" s="106"/>
    </row>
    <row r="31" spans="1:15" ht="32.25" customHeight="1">
      <c r="A31" s="703" t="s">
        <v>1027</v>
      </c>
      <c r="B31" s="143">
        <f>B4-'[3]14退休(政)-性別'!B4</f>
        <v>0</v>
      </c>
      <c r="C31" s="143">
        <f>C4-'[3]14退休(政)-性別'!C4</f>
        <v>0</v>
      </c>
      <c r="D31" s="143">
        <f>D4-'[3]14退休(政)-性別'!D4</f>
        <v>0</v>
      </c>
      <c r="E31" s="143">
        <f>E4-'[3]14退休(政)-性別'!E4</f>
        <v>0</v>
      </c>
    </row>
    <row r="32" spans="1:15" ht="32.25" customHeight="1">
      <c r="B32" s="143">
        <f>B5-'[3]14退休(政)-性別'!B5</f>
        <v>0</v>
      </c>
      <c r="C32" s="143">
        <f>C5-'[3]14退休(政)-性別'!C5</f>
        <v>0</v>
      </c>
      <c r="D32" s="143">
        <f>D5-'[3]14退休(政)-性別'!D5</f>
        <v>0</v>
      </c>
      <c r="E32" s="143">
        <f>E5-'[3]14退休(政)-性別'!E5</f>
        <v>0</v>
      </c>
    </row>
    <row r="33" spans="2:5" ht="32.25" customHeight="1">
      <c r="B33" s="143">
        <f>B6-'[3]14退休(政)-性別'!B6</f>
        <v>0</v>
      </c>
      <c r="C33" s="143">
        <f>C6-'[3]14退休(政)-性別'!C6</f>
        <v>0</v>
      </c>
      <c r="D33" s="143">
        <f>D6-'[3]14退休(政)-性別'!D6</f>
        <v>0</v>
      </c>
      <c r="E33" s="143">
        <f>E6-'[3]14退休(政)-性別'!E6</f>
        <v>0</v>
      </c>
    </row>
    <row r="34" spans="2:5" ht="32.25" customHeight="1">
      <c r="B34" s="143">
        <f>B7-'[3]14退休(政)-性別'!B7</f>
        <v>0</v>
      </c>
      <c r="C34" s="143">
        <f>C7-'[3]14退休(政)-性別'!C7</f>
        <v>0</v>
      </c>
      <c r="D34" s="143">
        <f>D7-'[3]14退休(政)-性別'!D7</f>
        <v>0</v>
      </c>
      <c r="E34" s="143">
        <f>E7-'[3]14退休(政)-性別'!E7</f>
        <v>0</v>
      </c>
    </row>
    <row r="35" spans="2:5" ht="32.25" customHeight="1">
      <c r="B35" s="143">
        <f>B8-'[3]14退休(政)-性別'!B8</f>
        <v>0</v>
      </c>
      <c r="C35" s="143">
        <f>C8-'[3]14退休(政)-性別'!C8</f>
        <v>0</v>
      </c>
      <c r="D35" s="143">
        <f>D8-'[3]14退休(政)-性別'!D8</f>
        <v>0</v>
      </c>
      <c r="E35" s="143">
        <f>E8-'[3]14退休(政)-性別'!E8</f>
        <v>0</v>
      </c>
    </row>
    <row r="36" spans="2:5" ht="32.25" customHeight="1">
      <c r="B36" s="143">
        <f>B9-'[3]14退休(政)-性別'!B9</f>
        <v>0</v>
      </c>
      <c r="C36" s="143">
        <f>C9-'[3]14退休(政)-性別'!C9</f>
        <v>0</v>
      </c>
      <c r="D36" s="143">
        <f>D9-'[3]14退休(政)-性別'!D9</f>
        <v>0</v>
      </c>
      <c r="E36" s="143">
        <f>E9-'[3]14退休(政)-性別'!E9</f>
        <v>0</v>
      </c>
    </row>
    <row r="37" spans="2:5" ht="32.25" customHeight="1">
      <c r="B37" s="143">
        <f>B10-'[3]14退休(政)-性別'!B10</f>
        <v>0</v>
      </c>
      <c r="C37" s="143">
        <f>C10-'[3]14退休(政)-性別'!C10</f>
        <v>0</v>
      </c>
      <c r="D37" s="143">
        <f>D10-'[3]14退休(政)-性別'!D10</f>
        <v>0</v>
      </c>
      <c r="E37" s="143">
        <f>E10-'[3]14退休(政)-性別'!E10</f>
        <v>0</v>
      </c>
    </row>
    <row r="38" spans="2:5" ht="32.25" customHeight="1">
      <c r="B38" s="143">
        <f>B11-'[3]14退休(政)-性別'!B11</f>
        <v>0</v>
      </c>
      <c r="C38" s="143">
        <f>C11-'[3]14退休(政)-性別'!C11</f>
        <v>0</v>
      </c>
      <c r="D38" s="143">
        <f>D11-'[3]14退休(政)-性別'!D11</f>
        <v>0</v>
      </c>
      <c r="E38" s="143">
        <f>E11-'[3]14退休(政)-性別'!E11</f>
        <v>0</v>
      </c>
    </row>
    <row r="39" spans="2:5" ht="32.25" customHeight="1">
      <c r="B39" s="143">
        <f>B12-'[3]14退休(政)-性別'!B12</f>
        <v>0</v>
      </c>
      <c r="C39" s="143">
        <f>C12-'[3]14退休(政)-性別'!C12</f>
        <v>0</v>
      </c>
      <c r="D39" s="143">
        <f>D12-'[3]14退休(政)-性別'!D12</f>
        <v>0</v>
      </c>
      <c r="E39" s="143">
        <f>E12-'[3]14退休(政)-性別'!E12</f>
        <v>0</v>
      </c>
    </row>
    <row r="40" spans="2:5" ht="32.25" customHeight="1">
      <c r="B40" s="143">
        <f>B13-'[3]14退休(政)-性別'!B13</f>
        <v>0</v>
      </c>
      <c r="C40" s="143">
        <f>C13-'[3]14退休(政)-性別'!C13</f>
        <v>0</v>
      </c>
      <c r="D40" s="143">
        <f>D13-'[3]14退休(政)-性別'!D13</f>
        <v>0</v>
      </c>
      <c r="E40" s="143">
        <f>E13-'[3]14退休(政)-性別'!E13</f>
        <v>0</v>
      </c>
    </row>
    <row r="41" spans="2:5" ht="32.25" customHeight="1">
      <c r="B41" s="143">
        <f>B14-'[3]14退休(政)-性別'!B14</f>
        <v>0</v>
      </c>
      <c r="C41" s="143">
        <f>C14-'[3]14退休(政)-性別'!C14</f>
        <v>0</v>
      </c>
      <c r="D41" s="143">
        <f>D14-'[3]14退休(政)-性別'!D14</f>
        <v>0</v>
      </c>
      <c r="E41" s="143">
        <f>E14-'[3]14退休(政)-性別'!E14</f>
        <v>0</v>
      </c>
    </row>
    <row r="42" spans="2:5" ht="32.25" customHeight="1">
      <c r="B42" s="143">
        <f>B15-'[3]14退休(政)-性別'!B15</f>
        <v>0</v>
      </c>
      <c r="C42" s="143">
        <f>C15-'[3]14退休(政)-性別'!C15</f>
        <v>0</v>
      </c>
      <c r="D42" s="143">
        <f>D15-'[3]14退休(政)-性別'!D15</f>
        <v>0</v>
      </c>
      <c r="E42" s="143">
        <f>E15-'[3]14退休(政)-性別'!E15</f>
        <v>0</v>
      </c>
    </row>
    <row r="43" spans="2:5" ht="32.25" customHeight="1">
      <c r="B43" s="143">
        <f>B16-'[3]14退休(政)-性別'!B16</f>
        <v>0</v>
      </c>
      <c r="C43" s="143">
        <f>C16-'[3]14退休(政)-性別'!C16</f>
        <v>0</v>
      </c>
      <c r="D43" s="143">
        <f>D16-'[3]14退休(政)-性別'!D16</f>
        <v>0</v>
      </c>
      <c r="E43" s="143">
        <f>E16-'[3]14退休(政)-性別'!E16</f>
        <v>0</v>
      </c>
    </row>
    <row r="44" spans="2:5" ht="32.25" customHeight="1">
      <c r="B44" s="143">
        <f>B17-'[3]14退休(政)-性別'!B17</f>
        <v>0</v>
      </c>
      <c r="C44" s="143">
        <f>C17-'[3]14退休(政)-性別'!C17</f>
        <v>0</v>
      </c>
      <c r="D44" s="143">
        <f>D17-'[3]14退休(政)-性別'!D17</f>
        <v>0</v>
      </c>
      <c r="E44" s="143">
        <f>E17-'[3]14退休(政)-性別'!E17</f>
        <v>0</v>
      </c>
    </row>
    <row r="45" spans="2:5" ht="32.25" customHeight="1">
      <c r="B45" s="143">
        <f>B18-'[3]14退休(政)-性別'!B18</f>
        <v>0</v>
      </c>
      <c r="C45" s="143">
        <f>C18-'[3]14退休(政)-性別'!C18</f>
        <v>0</v>
      </c>
      <c r="D45" s="143">
        <f>D18-'[3]14退休(政)-性別'!D18</f>
        <v>0</v>
      </c>
      <c r="E45" s="143">
        <f>E18-'[3]14退休(政)-性別'!E18</f>
        <v>0</v>
      </c>
    </row>
    <row r="46" spans="2:5" ht="32.25" customHeight="1">
      <c r="B46" s="143">
        <f>B19-'[3]14退休(政)-性別'!B19</f>
        <v>0</v>
      </c>
      <c r="C46" s="143">
        <f>C19-'[3]14退休(政)-性別'!C19</f>
        <v>0</v>
      </c>
      <c r="D46" s="143">
        <f>D19-'[3]14退休(政)-性別'!D19</f>
        <v>0</v>
      </c>
      <c r="E46" s="143">
        <f>E19-'[3]14退休(政)-性別'!E19</f>
        <v>0</v>
      </c>
    </row>
    <row r="47" spans="2:5" ht="32.25" customHeight="1">
      <c r="B47" s="143">
        <f>B20-'[3]14退休(政)-性別'!B20</f>
        <v>0</v>
      </c>
      <c r="C47" s="143">
        <f>C20-'[3]14退休(政)-性別'!C20</f>
        <v>0</v>
      </c>
      <c r="D47" s="143">
        <f>D20-'[3]14退休(政)-性別'!D20</f>
        <v>0</v>
      </c>
      <c r="E47" s="143">
        <f>E20-'[3]14退休(政)-性別'!E20</f>
        <v>0</v>
      </c>
    </row>
    <row r="48" spans="2:5" ht="32.25" customHeight="1">
      <c r="B48" s="143">
        <f>B21-'[3]14退休(政)-性別'!B21</f>
        <v>0</v>
      </c>
      <c r="C48" s="143">
        <f>C21-'[3]14退休(政)-性別'!C21</f>
        <v>0</v>
      </c>
      <c r="D48" s="143">
        <f>D21-'[3]14退休(政)-性別'!D21</f>
        <v>0</v>
      </c>
      <c r="E48" s="143">
        <f>E21-'[3]14退休(政)-性別'!E21</f>
        <v>0</v>
      </c>
    </row>
    <row r="49" spans="2:5" ht="32.25" customHeight="1">
      <c r="B49" s="143">
        <f>B22-'[3]14退休(政)-性別'!B22</f>
        <v>0</v>
      </c>
      <c r="C49" s="143">
        <f>C22-'[3]14退休(政)-性別'!C22</f>
        <v>0</v>
      </c>
      <c r="D49" s="143">
        <f>D22-'[3]14退休(政)-性別'!D22</f>
        <v>0</v>
      </c>
      <c r="E49" s="143">
        <f>E22-'[3]14退休(政)-性別'!E22</f>
        <v>0</v>
      </c>
    </row>
    <row r="50" spans="2:5" ht="32.25" customHeight="1">
      <c r="B50" s="143">
        <f>B23-'[3]14退休(政)-性別'!B23</f>
        <v>0</v>
      </c>
      <c r="C50" s="143">
        <f>C23-'[3]14退休(政)-性別'!C23</f>
        <v>0</v>
      </c>
      <c r="D50" s="143">
        <f>D23-'[3]14退休(政)-性別'!D23</f>
        <v>0</v>
      </c>
      <c r="E50" s="143">
        <f>E23-'[3]14退休(政)-性別'!E23</f>
        <v>0</v>
      </c>
    </row>
    <row r="51" spans="2:5" ht="32.25" customHeight="1">
      <c r="B51" s="143">
        <f>B24-'[3]14退休(政)-性別'!B24</f>
        <v>0</v>
      </c>
      <c r="C51" s="143">
        <f>C24-'[3]14退休(政)-性別'!C24</f>
        <v>0</v>
      </c>
      <c r="D51" s="143">
        <f>D24-'[3]14退休(政)-性別'!D24</f>
        <v>0</v>
      </c>
      <c r="E51" s="143">
        <f>E24-'[3]14退休(政)-性別'!E24</f>
        <v>0</v>
      </c>
    </row>
    <row r="52" spans="2:5" ht="32.25" customHeight="1">
      <c r="B52" s="143">
        <f>B25-'[3]14退休(政)-性別'!B25</f>
        <v>0</v>
      </c>
      <c r="C52" s="143">
        <f>C25-'[3]14退休(政)-性別'!C25</f>
        <v>0</v>
      </c>
      <c r="D52" s="143">
        <f>D25-'[3]14退休(政)-性別'!D25</f>
        <v>0</v>
      </c>
      <c r="E52" s="143">
        <f>E25-'[3]14退休(政)-性別'!E25</f>
        <v>0</v>
      </c>
    </row>
    <row r="53" spans="2:5" ht="32.25" customHeight="1">
      <c r="B53" s="143">
        <f>B26-'[3]14退休(政)-性別'!B26</f>
        <v>0</v>
      </c>
      <c r="C53" s="143">
        <f>C26-'[3]14退休(政)-性別'!C26</f>
        <v>0</v>
      </c>
      <c r="D53" s="143">
        <f>D26-'[3]14退休(政)-性別'!D26</f>
        <v>0</v>
      </c>
      <c r="E53" s="143">
        <f>E26-'[3]14退休(政)-性別'!E26</f>
        <v>0</v>
      </c>
    </row>
    <row r="54" spans="2:5" ht="32.25" customHeight="1">
      <c r="B54" s="143">
        <f>B27-'[3]14退休(政)-性別'!B27</f>
        <v>0</v>
      </c>
      <c r="C54" s="143">
        <f>C27-'[3]14退休(政)-性別'!C27</f>
        <v>0</v>
      </c>
      <c r="D54" s="143">
        <f>D27-'[3]14退休(政)-性別'!D27</f>
        <v>0</v>
      </c>
      <c r="E54" s="143">
        <f>E27-'[3]14退休(政)-性別'!E27</f>
        <v>0</v>
      </c>
    </row>
    <row r="55" spans="2:5" ht="32.25" customHeight="1">
      <c r="B55" s="143">
        <f>B28-'[3]14退休(政)-性別'!B28</f>
        <v>0</v>
      </c>
      <c r="C55" s="143">
        <f>C28-'[3]14退休(政)-性別'!C28</f>
        <v>0</v>
      </c>
      <c r="D55" s="143">
        <f>D28-'[3]14退休(政)-性別'!D28</f>
        <v>0</v>
      </c>
      <c r="E55" s="143">
        <f>E28-'[3]14退休(政)-性別'!E28</f>
        <v>0</v>
      </c>
    </row>
    <row r="56" spans="2:5" ht="32.25" customHeight="1">
      <c r="B56" s="143"/>
    </row>
    <row r="57" spans="2:5" ht="32.25" customHeight="1">
      <c r="B57" s="143"/>
    </row>
    <row r="58" spans="2:5" ht="32.25" customHeight="1">
      <c r="B58" s="143"/>
    </row>
    <row r="59" spans="2:5" ht="32.25" customHeight="1">
      <c r="B59" s="143"/>
    </row>
    <row r="60" spans="2:5" ht="32.25" customHeight="1">
      <c r="B60" s="143"/>
    </row>
    <row r="61" spans="2:5" ht="32.25" customHeight="1">
      <c r="B61" s="143"/>
    </row>
    <row r="62" spans="2:5" ht="32.25" customHeight="1">
      <c r="B62" s="143"/>
    </row>
    <row r="63" spans="2:5" ht="32.25" customHeight="1">
      <c r="B63" s="143"/>
    </row>
    <row r="64" spans="2:5" ht="32.25" customHeight="1">
      <c r="B64" s="143"/>
    </row>
    <row r="65" spans="2:2" ht="32.25" customHeight="1">
      <c r="B65" s="143"/>
    </row>
    <row r="66" spans="2:2" ht="32.25" customHeight="1">
      <c r="B66" s="143"/>
    </row>
    <row r="67" spans="2:2" ht="32.25" customHeight="1">
      <c r="B67" s="143"/>
    </row>
    <row r="68" spans="2:2" ht="32.25" customHeight="1">
      <c r="B68" s="143"/>
    </row>
    <row r="69" spans="2:2" ht="32.25" customHeight="1">
      <c r="B69" s="143"/>
    </row>
    <row r="70" spans="2:2" ht="32.25" customHeight="1">
      <c r="B70" s="143"/>
    </row>
    <row r="71" spans="2:2" ht="32.25" customHeight="1">
      <c r="B71" s="143"/>
    </row>
    <row r="72" spans="2:2" ht="32.25" customHeight="1">
      <c r="B72" s="143"/>
    </row>
    <row r="73" spans="2:2" ht="32.25" customHeight="1">
      <c r="B73" s="143"/>
    </row>
    <row r="74" spans="2:2" ht="32.25" customHeight="1">
      <c r="B74" s="143"/>
    </row>
    <row r="75" spans="2:2" ht="32.25" customHeight="1">
      <c r="B75" s="143"/>
    </row>
    <row r="76" spans="2:2" ht="32.25" customHeight="1">
      <c r="B76" s="143"/>
    </row>
    <row r="77" spans="2:2" ht="32.25" customHeight="1">
      <c r="B77" s="143"/>
    </row>
    <row r="78" spans="2:2" ht="32.25" customHeight="1">
      <c r="B78" s="143"/>
    </row>
    <row r="79" spans="2:2" ht="32.25" customHeight="1"/>
    <row r="80" spans="2:2"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sheetData>
  <mergeCells count="2">
    <mergeCell ref="A1:E1"/>
    <mergeCell ref="A2:D2"/>
  </mergeCells>
  <phoneticPr fontId="3" type="noConversion"/>
  <pageMargins left="0.62992125984251968" right="0" top="0.59055118110236227" bottom="0.78740157480314965" header="0.18" footer="0"/>
  <pageSetup paperSize="9" scale="97" firstPageNumber="4"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indexed="13"/>
  </sheetPr>
  <dimension ref="A1:O202"/>
  <sheetViews>
    <sheetView view="pageBreakPreview" zoomScale="90" zoomScaleNormal="85" zoomScaleSheetLayoutView="90" workbookViewId="0">
      <pane xSplit="1" ySplit="5" topLeftCell="B6"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2.5" style="26" customWidth="1"/>
    <col min="2" max="5" width="12.375" style="1" customWidth="1"/>
    <col min="6" max="6" width="15.375" style="1" customWidth="1"/>
    <col min="7" max="7" width="12.375" style="1" customWidth="1"/>
    <col min="8" max="16384" width="8.125" style="1"/>
  </cols>
  <sheetData>
    <row r="1" spans="1:15" ht="33" customHeight="1">
      <c r="A1" s="778" t="s">
        <v>144</v>
      </c>
      <c r="B1" s="778"/>
      <c r="C1" s="778"/>
      <c r="D1" s="778"/>
      <c r="E1" s="778"/>
      <c r="F1" s="778"/>
      <c r="G1" s="778"/>
    </row>
    <row r="2" spans="1:15" s="2" customFormat="1" ht="33" customHeight="1">
      <c r="A2" s="792" t="s">
        <v>405</v>
      </c>
      <c r="B2" s="792"/>
      <c r="C2" s="792"/>
      <c r="D2" s="792"/>
      <c r="E2" s="792"/>
      <c r="F2" s="792"/>
      <c r="G2" s="115" t="s">
        <v>145</v>
      </c>
    </row>
    <row r="3" spans="1:15" s="2" customFormat="1" ht="33" customHeight="1">
      <c r="A3" s="793" t="s">
        <v>48</v>
      </c>
      <c r="B3" s="794" t="s">
        <v>49</v>
      </c>
      <c r="C3" s="795" t="s">
        <v>66</v>
      </c>
      <c r="D3" s="795"/>
      <c r="E3" s="795"/>
      <c r="F3" s="795"/>
      <c r="G3" s="796" t="s">
        <v>101</v>
      </c>
    </row>
    <row r="4" spans="1:15" s="2" customFormat="1" ht="37.5" customHeight="1">
      <c r="A4" s="793"/>
      <c r="B4" s="794"/>
      <c r="C4" s="100" t="s">
        <v>58</v>
      </c>
      <c r="D4" s="100" t="s">
        <v>74</v>
      </c>
      <c r="E4" s="100" t="s">
        <v>75</v>
      </c>
      <c r="F4" s="99" t="s">
        <v>76</v>
      </c>
      <c r="G4" s="796"/>
      <c r="I4" s="2" t="s">
        <v>1023</v>
      </c>
    </row>
    <row r="5" spans="1:15" s="6" customFormat="1" ht="27.75" customHeight="1">
      <c r="A5" s="42" t="s">
        <v>107</v>
      </c>
      <c r="B5" s="30">
        <f>SUM(D5:G5)</f>
        <v>7297</v>
      </c>
      <c r="C5" s="30">
        <f>SUM(D5:F5)</f>
        <v>7288</v>
      </c>
      <c r="D5" s="30">
        <f>SUM(D8:D29)+SUM(D30:D50)</f>
        <v>392</v>
      </c>
      <c r="E5" s="30">
        <f>SUM(E8:E29)+SUM(E30:E50)</f>
        <v>6851</v>
      </c>
      <c r="F5" s="30">
        <f>SUM(F8:F29)+SUM(F30:F50)</f>
        <v>45</v>
      </c>
      <c r="G5" s="30">
        <f>SUM(G8:G29)+SUM(G30:G50)</f>
        <v>9</v>
      </c>
      <c r="H5" s="37">
        <f>B5-'11當年退離(公)-性別'!C6-'11當年退離(公)-性別'!G6</f>
        <v>0</v>
      </c>
      <c r="I5" s="37">
        <f>SUM(B6:B7)-B5</f>
        <v>0</v>
      </c>
      <c r="J5" s="37">
        <f t="shared" ref="J5:M5" si="0">SUM(C6:C7)-C5</f>
        <v>0</v>
      </c>
      <c r="K5" s="37">
        <f t="shared" si="0"/>
        <v>0</v>
      </c>
      <c r="L5" s="37">
        <f t="shared" si="0"/>
        <v>0</v>
      </c>
      <c r="M5" s="37">
        <f t="shared" si="0"/>
        <v>0</v>
      </c>
      <c r="N5" s="37">
        <f>SUM(G6:G7)-G5</f>
        <v>0</v>
      </c>
    </row>
    <row r="6" spans="1:15" s="150" customFormat="1" ht="25.5" customHeight="1">
      <c r="A6" s="154" t="s">
        <v>399</v>
      </c>
      <c r="B6" s="30">
        <f t="shared" ref="B6:B50" si="1">SUM(D6:G6)</f>
        <v>4472</v>
      </c>
      <c r="C6" s="30">
        <f t="shared" ref="C6:C50" si="2">SUM(D6:F6)</f>
        <v>4467</v>
      </c>
      <c r="D6" s="30">
        <v>296</v>
      </c>
      <c r="E6" s="30">
        <v>4153</v>
      </c>
      <c r="F6" s="30">
        <v>18</v>
      </c>
      <c r="G6" s="30">
        <v>5</v>
      </c>
      <c r="H6" s="30"/>
      <c r="I6" s="30"/>
      <c r="J6" s="30"/>
      <c r="K6" s="30"/>
      <c r="L6" s="30"/>
      <c r="M6" s="30"/>
      <c r="N6" s="30"/>
      <c r="O6" s="30"/>
    </row>
    <row r="7" spans="1:15" s="150" customFormat="1" ht="25.5" customHeight="1">
      <c r="A7" s="154" t="s">
        <v>401</v>
      </c>
      <c r="B7" s="30">
        <f t="shared" si="1"/>
        <v>2825</v>
      </c>
      <c r="C7" s="30">
        <f t="shared" si="2"/>
        <v>2821</v>
      </c>
      <c r="D7" s="30">
        <v>96</v>
      </c>
      <c r="E7" s="30">
        <v>2698</v>
      </c>
      <c r="F7" s="30">
        <v>27</v>
      </c>
      <c r="G7" s="30">
        <v>4</v>
      </c>
      <c r="H7" s="30"/>
      <c r="I7" s="30"/>
      <c r="J7" s="30"/>
      <c r="K7" s="30"/>
      <c r="L7" s="30"/>
      <c r="M7" s="30"/>
      <c r="N7" s="30"/>
      <c r="O7" s="30"/>
    </row>
    <row r="8" spans="1:15" s="6" customFormat="1" ht="27.75" customHeight="1">
      <c r="A8" s="43" t="s">
        <v>146</v>
      </c>
      <c r="B8" s="30">
        <f t="shared" si="1"/>
        <v>0</v>
      </c>
      <c r="C8" s="30">
        <f t="shared" si="2"/>
        <v>0</v>
      </c>
      <c r="D8" s="30">
        <v>0</v>
      </c>
      <c r="E8" s="30">
        <v>0</v>
      </c>
      <c r="F8" s="30">
        <v>0</v>
      </c>
      <c r="G8" s="30">
        <v>0</v>
      </c>
    </row>
    <row r="9" spans="1:15" s="6" customFormat="1" ht="27.75" customHeight="1">
      <c r="A9" s="43" t="s">
        <v>147</v>
      </c>
      <c r="B9" s="30">
        <f t="shared" si="1"/>
        <v>0</v>
      </c>
      <c r="C9" s="30">
        <f t="shared" si="2"/>
        <v>0</v>
      </c>
      <c r="D9" s="30">
        <v>0</v>
      </c>
      <c r="E9" s="30">
        <v>0</v>
      </c>
      <c r="F9" s="30">
        <v>0</v>
      </c>
      <c r="G9" s="30">
        <v>0</v>
      </c>
    </row>
    <row r="10" spans="1:15" s="6" customFormat="1" ht="27.75" customHeight="1">
      <c r="A10" s="43" t="s">
        <v>109</v>
      </c>
      <c r="B10" s="30">
        <f t="shared" si="1"/>
        <v>0</v>
      </c>
      <c r="C10" s="30">
        <f t="shared" si="2"/>
        <v>0</v>
      </c>
      <c r="D10" s="30">
        <v>0</v>
      </c>
      <c r="E10" s="30">
        <v>0</v>
      </c>
      <c r="F10" s="30">
        <v>0</v>
      </c>
      <c r="G10" s="30">
        <v>0</v>
      </c>
    </row>
    <row r="11" spans="1:15" s="6" customFormat="1" ht="27.75" customHeight="1">
      <c r="A11" s="43" t="s">
        <v>110</v>
      </c>
      <c r="B11" s="30">
        <f t="shared" si="1"/>
        <v>0</v>
      </c>
      <c r="C11" s="30">
        <f t="shared" si="2"/>
        <v>0</v>
      </c>
      <c r="D11" s="30">
        <v>0</v>
      </c>
      <c r="E11" s="30">
        <v>0</v>
      </c>
      <c r="F11" s="30">
        <v>0</v>
      </c>
      <c r="G11" s="30">
        <v>0</v>
      </c>
    </row>
    <row r="12" spans="1:15" s="6" customFormat="1" ht="27.75" customHeight="1">
      <c r="A12" s="43" t="s">
        <v>111</v>
      </c>
      <c r="B12" s="30">
        <f t="shared" si="1"/>
        <v>0</v>
      </c>
      <c r="C12" s="30">
        <f t="shared" si="2"/>
        <v>0</v>
      </c>
      <c r="D12" s="30">
        <v>0</v>
      </c>
      <c r="E12" s="30">
        <v>0</v>
      </c>
      <c r="F12" s="30">
        <v>0</v>
      </c>
      <c r="G12" s="30">
        <v>0</v>
      </c>
    </row>
    <row r="13" spans="1:15" ht="27.75" customHeight="1">
      <c r="A13" s="43" t="s">
        <v>112</v>
      </c>
      <c r="B13" s="30">
        <f t="shared" si="1"/>
        <v>0</v>
      </c>
      <c r="C13" s="30">
        <f t="shared" si="2"/>
        <v>0</v>
      </c>
      <c r="D13" s="30">
        <v>0</v>
      </c>
      <c r="E13" s="30">
        <v>0</v>
      </c>
      <c r="F13" s="30">
        <v>0</v>
      </c>
      <c r="G13" s="30">
        <v>0</v>
      </c>
    </row>
    <row r="14" spans="1:15" ht="27.75" customHeight="1">
      <c r="A14" s="43" t="s">
        <v>113</v>
      </c>
      <c r="B14" s="30">
        <f t="shared" si="1"/>
        <v>0</v>
      </c>
      <c r="C14" s="30">
        <f t="shared" si="2"/>
        <v>0</v>
      </c>
      <c r="D14" s="30">
        <v>0</v>
      </c>
      <c r="E14" s="30">
        <v>0</v>
      </c>
      <c r="F14" s="30">
        <v>0</v>
      </c>
      <c r="G14" s="30">
        <v>0</v>
      </c>
    </row>
    <row r="15" spans="1:15" ht="27.75" customHeight="1">
      <c r="A15" s="43" t="s">
        <v>114</v>
      </c>
      <c r="B15" s="30">
        <f t="shared" si="1"/>
        <v>0</v>
      </c>
      <c r="C15" s="30">
        <f t="shared" si="2"/>
        <v>0</v>
      </c>
      <c r="D15" s="30">
        <v>0</v>
      </c>
      <c r="E15" s="30">
        <v>0</v>
      </c>
      <c r="F15" s="30">
        <v>0</v>
      </c>
      <c r="G15" s="30">
        <v>0</v>
      </c>
    </row>
    <row r="16" spans="1:15" ht="27.75" customHeight="1">
      <c r="A16" s="43" t="s">
        <v>15</v>
      </c>
      <c r="B16" s="30">
        <f t="shared" si="1"/>
        <v>0</v>
      </c>
      <c r="C16" s="30">
        <f t="shared" si="2"/>
        <v>0</v>
      </c>
      <c r="D16" s="30">
        <v>0</v>
      </c>
      <c r="E16" s="30">
        <v>0</v>
      </c>
      <c r="F16" s="30">
        <v>0</v>
      </c>
      <c r="G16" s="30">
        <v>0</v>
      </c>
    </row>
    <row r="17" spans="1:7" ht="27.75" customHeight="1">
      <c r="A17" s="43" t="s">
        <v>16</v>
      </c>
      <c r="B17" s="30">
        <f t="shared" si="1"/>
        <v>0</v>
      </c>
      <c r="C17" s="30">
        <f t="shared" si="2"/>
        <v>0</v>
      </c>
      <c r="D17" s="30">
        <v>0</v>
      </c>
      <c r="E17" s="30">
        <v>0</v>
      </c>
      <c r="F17" s="30">
        <v>0</v>
      </c>
      <c r="G17" s="30">
        <v>0</v>
      </c>
    </row>
    <row r="18" spans="1:7" ht="27.75" customHeight="1">
      <c r="A18" s="43" t="s">
        <v>17</v>
      </c>
      <c r="B18" s="30">
        <f t="shared" si="1"/>
        <v>0</v>
      </c>
      <c r="C18" s="30">
        <f t="shared" si="2"/>
        <v>0</v>
      </c>
      <c r="D18" s="30">
        <v>0</v>
      </c>
      <c r="E18" s="30">
        <v>0</v>
      </c>
      <c r="F18" s="30">
        <v>0</v>
      </c>
      <c r="G18" s="30">
        <v>0</v>
      </c>
    </row>
    <row r="19" spans="1:7" ht="27.75" customHeight="1">
      <c r="A19" s="43" t="s">
        <v>18</v>
      </c>
      <c r="B19" s="30">
        <f t="shared" si="1"/>
        <v>0</v>
      </c>
      <c r="C19" s="30">
        <f t="shared" si="2"/>
        <v>0</v>
      </c>
      <c r="D19" s="30">
        <v>0</v>
      </c>
      <c r="E19" s="30">
        <v>0</v>
      </c>
      <c r="F19" s="30">
        <v>0</v>
      </c>
      <c r="G19" s="30">
        <v>0</v>
      </c>
    </row>
    <row r="20" spans="1:7" ht="27.75" customHeight="1">
      <c r="A20" s="43" t="s">
        <v>19</v>
      </c>
      <c r="B20" s="30">
        <f t="shared" si="1"/>
        <v>0</v>
      </c>
      <c r="C20" s="30">
        <f t="shared" si="2"/>
        <v>0</v>
      </c>
      <c r="D20" s="30">
        <v>0</v>
      </c>
      <c r="E20" s="30">
        <v>0</v>
      </c>
      <c r="F20" s="30">
        <v>0</v>
      </c>
      <c r="G20" s="30">
        <v>0</v>
      </c>
    </row>
    <row r="21" spans="1:7" ht="27.75" customHeight="1">
      <c r="A21" s="43" t="s">
        <v>20</v>
      </c>
      <c r="B21" s="30">
        <f t="shared" si="1"/>
        <v>0</v>
      </c>
      <c r="C21" s="30">
        <f t="shared" si="2"/>
        <v>0</v>
      </c>
      <c r="D21" s="30">
        <v>0</v>
      </c>
      <c r="E21" s="30">
        <v>0</v>
      </c>
      <c r="F21" s="30">
        <v>0</v>
      </c>
      <c r="G21" s="30">
        <v>0</v>
      </c>
    </row>
    <row r="22" spans="1:7" ht="27.75" customHeight="1">
      <c r="A22" s="43" t="s">
        <v>21</v>
      </c>
      <c r="B22" s="30">
        <f t="shared" si="1"/>
        <v>0</v>
      </c>
      <c r="C22" s="30">
        <f t="shared" si="2"/>
        <v>0</v>
      </c>
      <c r="D22" s="30">
        <v>0</v>
      </c>
      <c r="E22" s="30">
        <v>0</v>
      </c>
      <c r="F22" s="30">
        <v>0</v>
      </c>
      <c r="G22" s="30">
        <v>0</v>
      </c>
    </row>
    <row r="23" spans="1:7" ht="27.75" customHeight="1">
      <c r="A23" s="43" t="s">
        <v>22</v>
      </c>
      <c r="B23" s="30">
        <f t="shared" si="1"/>
        <v>1</v>
      </c>
      <c r="C23" s="30">
        <f t="shared" si="2"/>
        <v>1</v>
      </c>
      <c r="D23" s="30">
        <v>1</v>
      </c>
      <c r="E23" s="30">
        <v>0</v>
      </c>
      <c r="F23" s="30">
        <v>0</v>
      </c>
      <c r="G23" s="30">
        <v>0</v>
      </c>
    </row>
    <row r="24" spans="1:7" ht="27.75" customHeight="1">
      <c r="A24" s="43" t="s">
        <v>23</v>
      </c>
      <c r="B24" s="30">
        <f t="shared" si="1"/>
        <v>0</v>
      </c>
      <c r="C24" s="30">
        <f t="shared" si="2"/>
        <v>0</v>
      </c>
      <c r="D24" s="30">
        <v>0</v>
      </c>
      <c r="E24" s="30">
        <v>0</v>
      </c>
      <c r="F24" s="30">
        <v>0</v>
      </c>
      <c r="G24" s="30">
        <v>0</v>
      </c>
    </row>
    <row r="25" spans="1:7" ht="27.75" customHeight="1">
      <c r="A25" s="43" t="s">
        <v>24</v>
      </c>
      <c r="B25" s="30">
        <f t="shared" si="1"/>
        <v>2</v>
      </c>
      <c r="C25" s="30">
        <f t="shared" si="2"/>
        <v>0</v>
      </c>
      <c r="D25" s="30">
        <v>0</v>
      </c>
      <c r="E25" s="30">
        <v>0</v>
      </c>
      <c r="F25" s="30">
        <v>0</v>
      </c>
      <c r="G25" s="30">
        <v>2</v>
      </c>
    </row>
    <row r="26" spans="1:7" ht="27.75" customHeight="1">
      <c r="A26" s="43" t="s">
        <v>25</v>
      </c>
      <c r="B26" s="30">
        <f t="shared" si="1"/>
        <v>2</v>
      </c>
      <c r="C26" s="30">
        <f t="shared" si="2"/>
        <v>1</v>
      </c>
      <c r="D26" s="30">
        <v>0</v>
      </c>
      <c r="E26" s="30">
        <v>1</v>
      </c>
      <c r="F26" s="30">
        <v>0</v>
      </c>
      <c r="G26" s="30">
        <v>1</v>
      </c>
    </row>
    <row r="27" spans="1:7" ht="27.75" customHeight="1">
      <c r="A27" s="43" t="s">
        <v>26</v>
      </c>
      <c r="B27" s="30">
        <f t="shared" si="1"/>
        <v>6</v>
      </c>
      <c r="C27" s="30">
        <f t="shared" si="2"/>
        <v>5</v>
      </c>
      <c r="D27" s="30">
        <v>4</v>
      </c>
      <c r="E27" s="30">
        <v>1</v>
      </c>
      <c r="F27" s="30">
        <v>0</v>
      </c>
      <c r="G27" s="30">
        <v>1</v>
      </c>
    </row>
    <row r="28" spans="1:7" ht="27.75" customHeight="1">
      <c r="A28" s="43" t="s">
        <v>27</v>
      </c>
      <c r="B28" s="30">
        <f t="shared" si="1"/>
        <v>26</v>
      </c>
      <c r="C28" s="30">
        <f t="shared" si="2"/>
        <v>25</v>
      </c>
      <c r="D28" s="30">
        <v>22</v>
      </c>
      <c r="E28" s="30">
        <v>3</v>
      </c>
      <c r="F28" s="30">
        <v>0</v>
      </c>
      <c r="G28" s="30">
        <v>1</v>
      </c>
    </row>
    <row r="29" spans="1:7" s="6" customFormat="1" ht="27.75" customHeight="1">
      <c r="A29" s="44" t="s">
        <v>115</v>
      </c>
      <c r="B29" s="33">
        <f t="shared" si="1"/>
        <v>43</v>
      </c>
      <c r="C29" s="34">
        <f t="shared" si="2"/>
        <v>43</v>
      </c>
      <c r="D29" s="34">
        <v>39</v>
      </c>
      <c r="E29" s="34">
        <v>3</v>
      </c>
      <c r="F29" s="34">
        <v>1</v>
      </c>
      <c r="G29" s="34">
        <v>0</v>
      </c>
    </row>
    <row r="30" spans="1:7" s="6" customFormat="1" ht="27.75" customHeight="1">
      <c r="A30" s="43" t="s">
        <v>116</v>
      </c>
      <c r="B30" s="30">
        <f t="shared" si="1"/>
        <v>47</v>
      </c>
      <c r="C30" s="30">
        <f t="shared" si="2"/>
        <v>47</v>
      </c>
      <c r="D30" s="30">
        <v>39</v>
      </c>
      <c r="E30" s="30">
        <v>8</v>
      </c>
      <c r="F30" s="30">
        <v>0</v>
      </c>
      <c r="G30" s="30">
        <v>0</v>
      </c>
    </row>
    <row r="31" spans="1:7" s="6" customFormat="1" ht="27.75" customHeight="1">
      <c r="A31" s="43" t="s">
        <v>117</v>
      </c>
      <c r="B31" s="30">
        <f t="shared" si="1"/>
        <v>47</v>
      </c>
      <c r="C31" s="30">
        <f t="shared" si="2"/>
        <v>46</v>
      </c>
      <c r="D31" s="30">
        <v>39</v>
      </c>
      <c r="E31" s="30">
        <v>6</v>
      </c>
      <c r="F31" s="30">
        <v>1</v>
      </c>
      <c r="G31" s="30">
        <v>1</v>
      </c>
    </row>
    <row r="32" spans="1:7" s="6" customFormat="1" ht="27.75" customHeight="1">
      <c r="A32" s="43" t="s">
        <v>118</v>
      </c>
      <c r="B32" s="30">
        <f t="shared" si="1"/>
        <v>54</v>
      </c>
      <c r="C32" s="30">
        <f t="shared" si="2"/>
        <v>54</v>
      </c>
      <c r="D32" s="30">
        <v>38</v>
      </c>
      <c r="E32" s="30">
        <v>14</v>
      </c>
      <c r="F32" s="30">
        <v>2</v>
      </c>
      <c r="G32" s="30">
        <v>0</v>
      </c>
    </row>
    <row r="33" spans="1:7" ht="27.75" customHeight="1">
      <c r="A33" s="43" t="s">
        <v>119</v>
      </c>
      <c r="B33" s="30">
        <f t="shared" si="1"/>
        <v>59</v>
      </c>
      <c r="C33" s="30">
        <f t="shared" si="2"/>
        <v>59</v>
      </c>
      <c r="D33" s="30">
        <v>37</v>
      </c>
      <c r="E33" s="30">
        <v>20</v>
      </c>
      <c r="F33" s="30">
        <v>2</v>
      </c>
      <c r="G33" s="30">
        <v>0</v>
      </c>
    </row>
    <row r="34" spans="1:7" ht="27.75" customHeight="1">
      <c r="A34" s="43" t="s">
        <v>120</v>
      </c>
      <c r="B34" s="30">
        <f t="shared" si="1"/>
        <v>602</v>
      </c>
      <c r="C34" s="30">
        <f t="shared" si="2"/>
        <v>600</v>
      </c>
      <c r="D34" s="30">
        <v>36</v>
      </c>
      <c r="E34" s="30">
        <v>558</v>
      </c>
      <c r="F34" s="30">
        <v>6</v>
      </c>
      <c r="G34" s="30">
        <v>2</v>
      </c>
    </row>
    <row r="35" spans="1:7" ht="27.75" customHeight="1">
      <c r="A35" s="43" t="s">
        <v>121</v>
      </c>
      <c r="B35" s="30">
        <f t="shared" si="1"/>
        <v>276</v>
      </c>
      <c r="C35" s="30">
        <f t="shared" si="2"/>
        <v>276</v>
      </c>
      <c r="D35" s="30">
        <v>24</v>
      </c>
      <c r="E35" s="30">
        <v>249</v>
      </c>
      <c r="F35" s="30">
        <v>3</v>
      </c>
      <c r="G35" s="30">
        <v>0</v>
      </c>
    </row>
    <row r="36" spans="1:7" ht="27.75" customHeight="1">
      <c r="A36" s="43" t="s">
        <v>122</v>
      </c>
      <c r="B36" s="30">
        <f t="shared" si="1"/>
        <v>393</v>
      </c>
      <c r="C36" s="30">
        <f t="shared" si="2"/>
        <v>392</v>
      </c>
      <c r="D36" s="30">
        <v>15</v>
      </c>
      <c r="E36" s="30">
        <v>372</v>
      </c>
      <c r="F36" s="30">
        <v>5</v>
      </c>
      <c r="G36" s="30">
        <v>1</v>
      </c>
    </row>
    <row r="37" spans="1:7" ht="27.75" customHeight="1">
      <c r="A37" s="43" t="s">
        <v>123</v>
      </c>
      <c r="B37" s="30">
        <f t="shared" si="1"/>
        <v>380</v>
      </c>
      <c r="C37" s="30">
        <f t="shared" si="2"/>
        <v>380</v>
      </c>
      <c r="D37" s="30">
        <v>14</v>
      </c>
      <c r="E37" s="30">
        <v>364</v>
      </c>
      <c r="F37" s="30">
        <v>2</v>
      </c>
      <c r="G37" s="30">
        <v>0</v>
      </c>
    </row>
    <row r="38" spans="1:7" ht="27.75" customHeight="1">
      <c r="A38" s="43" t="s">
        <v>124</v>
      </c>
      <c r="B38" s="30">
        <f t="shared" si="1"/>
        <v>431</v>
      </c>
      <c r="C38" s="30">
        <f t="shared" si="2"/>
        <v>431</v>
      </c>
      <c r="D38" s="30">
        <v>10</v>
      </c>
      <c r="E38" s="30">
        <v>420</v>
      </c>
      <c r="F38" s="30">
        <v>1</v>
      </c>
      <c r="G38" s="30">
        <v>0</v>
      </c>
    </row>
    <row r="39" spans="1:7" ht="27.75" customHeight="1">
      <c r="A39" s="43" t="s">
        <v>125</v>
      </c>
      <c r="B39" s="30">
        <f t="shared" si="1"/>
        <v>523</v>
      </c>
      <c r="C39" s="30">
        <f t="shared" si="2"/>
        <v>523</v>
      </c>
      <c r="D39" s="30">
        <v>4</v>
      </c>
      <c r="E39" s="30">
        <v>518</v>
      </c>
      <c r="F39" s="30">
        <v>1</v>
      </c>
      <c r="G39" s="30">
        <v>0</v>
      </c>
    </row>
    <row r="40" spans="1:7" ht="27.75" customHeight="1">
      <c r="A40" s="43" t="s">
        <v>126</v>
      </c>
      <c r="B40" s="30">
        <f t="shared" si="1"/>
        <v>416</v>
      </c>
      <c r="C40" s="30">
        <f t="shared" si="2"/>
        <v>416</v>
      </c>
      <c r="D40" s="30">
        <v>1</v>
      </c>
      <c r="E40" s="30">
        <v>412</v>
      </c>
      <c r="F40" s="30">
        <v>3</v>
      </c>
      <c r="G40" s="30">
        <v>0</v>
      </c>
    </row>
    <row r="41" spans="1:7" ht="27.75" customHeight="1">
      <c r="A41" s="43" t="s">
        <v>127</v>
      </c>
      <c r="B41" s="30">
        <f t="shared" si="1"/>
        <v>371</v>
      </c>
      <c r="C41" s="30">
        <f t="shared" si="2"/>
        <v>371</v>
      </c>
      <c r="D41" s="30">
        <v>1</v>
      </c>
      <c r="E41" s="30">
        <v>369</v>
      </c>
      <c r="F41" s="30">
        <v>1</v>
      </c>
      <c r="G41" s="30">
        <v>0</v>
      </c>
    </row>
    <row r="42" spans="1:7" ht="27.75" customHeight="1">
      <c r="A42" s="43" t="s">
        <v>128</v>
      </c>
      <c r="B42" s="30">
        <f t="shared" si="1"/>
        <v>341</v>
      </c>
      <c r="C42" s="30">
        <f t="shared" si="2"/>
        <v>341</v>
      </c>
      <c r="D42" s="30">
        <v>3</v>
      </c>
      <c r="E42" s="30">
        <v>337</v>
      </c>
      <c r="F42" s="30">
        <v>1</v>
      </c>
      <c r="G42" s="30">
        <v>0</v>
      </c>
    </row>
    <row r="43" spans="1:7" ht="27.75" customHeight="1">
      <c r="A43" s="43" t="s">
        <v>129</v>
      </c>
      <c r="B43" s="30">
        <f t="shared" si="1"/>
        <v>416</v>
      </c>
      <c r="C43" s="30">
        <f t="shared" si="2"/>
        <v>416</v>
      </c>
      <c r="D43" s="30">
        <v>4</v>
      </c>
      <c r="E43" s="30">
        <v>411</v>
      </c>
      <c r="F43" s="30">
        <v>1</v>
      </c>
      <c r="G43" s="30">
        <v>0</v>
      </c>
    </row>
    <row r="44" spans="1:7" ht="27.75" customHeight="1">
      <c r="A44" s="43" t="s">
        <v>130</v>
      </c>
      <c r="B44" s="30">
        <f t="shared" si="1"/>
        <v>577</v>
      </c>
      <c r="C44" s="30">
        <f t="shared" si="2"/>
        <v>577</v>
      </c>
      <c r="D44" s="30">
        <v>11</v>
      </c>
      <c r="E44" s="30">
        <v>563</v>
      </c>
      <c r="F44" s="30">
        <v>3</v>
      </c>
      <c r="G44" s="30">
        <v>0</v>
      </c>
    </row>
    <row r="45" spans="1:7" ht="27.75" customHeight="1">
      <c r="A45" s="43" t="s">
        <v>131</v>
      </c>
      <c r="B45" s="30">
        <f t="shared" si="1"/>
        <v>282</v>
      </c>
      <c r="C45" s="30">
        <f t="shared" si="2"/>
        <v>282</v>
      </c>
      <c r="D45" s="30">
        <v>4</v>
      </c>
      <c r="E45" s="30">
        <v>278</v>
      </c>
      <c r="F45" s="30">
        <v>0</v>
      </c>
      <c r="G45" s="30">
        <v>0</v>
      </c>
    </row>
    <row r="46" spans="1:7" ht="27.75" customHeight="1">
      <c r="A46" s="43" t="s">
        <v>132</v>
      </c>
      <c r="B46" s="30">
        <f t="shared" si="1"/>
        <v>236</v>
      </c>
      <c r="C46" s="30">
        <f t="shared" si="2"/>
        <v>236</v>
      </c>
      <c r="D46" s="30">
        <v>3</v>
      </c>
      <c r="E46" s="30">
        <v>233</v>
      </c>
      <c r="F46" s="30">
        <v>0</v>
      </c>
      <c r="G46" s="30">
        <v>0</v>
      </c>
    </row>
    <row r="47" spans="1:7" ht="27.75" customHeight="1">
      <c r="A47" s="43" t="s">
        <v>133</v>
      </c>
      <c r="B47" s="30">
        <f t="shared" si="1"/>
        <v>223</v>
      </c>
      <c r="C47" s="30">
        <f t="shared" si="2"/>
        <v>223</v>
      </c>
      <c r="D47" s="30">
        <v>6</v>
      </c>
      <c r="E47" s="30">
        <v>217</v>
      </c>
      <c r="F47" s="30">
        <v>0</v>
      </c>
      <c r="G47" s="30">
        <v>0</v>
      </c>
    </row>
    <row r="48" spans="1:7" ht="27.75" customHeight="1">
      <c r="A48" s="43" t="s">
        <v>134</v>
      </c>
      <c r="B48" s="30">
        <f t="shared" si="1"/>
        <v>313</v>
      </c>
      <c r="C48" s="30">
        <f t="shared" si="2"/>
        <v>313</v>
      </c>
      <c r="D48" s="30">
        <v>3</v>
      </c>
      <c r="E48" s="30">
        <v>309</v>
      </c>
      <c r="F48" s="30">
        <v>1</v>
      </c>
      <c r="G48" s="30">
        <v>0</v>
      </c>
    </row>
    <row r="49" spans="1:11" ht="27.75" customHeight="1">
      <c r="A49" s="43" t="s">
        <v>135</v>
      </c>
      <c r="B49" s="30">
        <f t="shared" si="1"/>
        <v>1204</v>
      </c>
      <c r="C49" s="30">
        <f t="shared" si="2"/>
        <v>1204</v>
      </c>
      <c r="D49" s="30">
        <v>34</v>
      </c>
      <c r="E49" s="30">
        <v>1163</v>
      </c>
      <c r="F49" s="30">
        <v>7</v>
      </c>
      <c r="G49" s="30">
        <v>0</v>
      </c>
    </row>
    <row r="50" spans="1:11" ht="27.75" customHeight="1">
      <c r="A50" s="44" t="s">
        <v>136</v>
      </c>
      <c r="B50" s="30">
        <f t="shared" si="1"/>
        <v>26</v>
      </c>
      <c r="C50" s="30">
        <f t="shared" si="2"/>
        <v>26</v>
      </c>
      <c r="D50" s="30">
        <v>0</v>
      </c>
      <c r="E50" s="30">
        <v>22</v>
      </c>
      <c r="F50" s="30">
        <v>4</v>
      </c>
      <c r="G50" s="30">
        <v>0</v>
      </c>
    </row>
    <row r="51" spans="1:11" ht="27.75" customHeight="1">
      <c r="A51" s="98" t="s">
        <v>137</v>
      </c>
      <c r="B51" s="78">
        <v>57.49</v>
      </c>
      <c r="C51" s="78">
        <v>57.51</v>
      </c>
      <c r="D51" s="78">
        <v>50.76</v>
      </c>
      <c r="E51" s="78">
        <v>57.9</v>
      </c>
      <c r="F51" s="78">
        <v>56.22</v>
      </c>
      <c r="G51" s="78">
        <v>45.56</v>
      </c>
      <c r="H51" s="29"/>
      <c r="I51" s="29"/>
      <c r="J51" s="29"/>
      <c r="K51" s="29"/>
    </row>
    <row r="52" spans="1:11" s="29" customFormat="1" ht="20.100000000000001" customHeight="1">
      <c r="A52" s="106" t="s">
        <v>148</v>
      </c>
      <c r="B52" s="46"/>
      <c r="C52" s="46"/>
      <c r="D52" s="46"/>
      <c r="E52" s="46"/>
      <c r="F52" s="46"/>
      <c r="G52" s="46"/>
      <c r="H52" s="106"/>
      <c r="I52" s="106"/>
      <c r="J52" s="106"/>
      <c r="K52" s="106"/>
    </row>
    <row r="53" spans="1:11" ht="32.25" customHeight="1">
      <c r="A53" s="703" t="s">
        <v>1027</v>
      </c>
      <c r="B53" s="143">
        <f>B5-'[3]15退休(公)-性別'!B5</f>
        <v>0</v>
      </c>
      <c r="C53" s="143">
        <f>C5-'[3]15退休(公)-性別'!C5</f>
        <v>0</v>
      </c>
      <c r="D53" s="143">
        <f>D5-'[3]15退休(公)-性別'!D5</f>
        <v>0</v>
      </c>
      <c r="E53" s="143">
        <f>E5-'[3]15退休(公)-性別'!E5</f>
        <v>0</v>
      </c>
      <c r="F53" s="143">
        <f>F5-'[3]15退休(公)-性別'!F5</f>
        <v>0</v>
      </c>
      <c r="G53" s="143">
        <f>G5-'[3]15退休(公)-性別'!G5</f>
        <v>0</v>
      </c>
    </row>
    <row r="54" spans="1:11" ht="32.25" customHeight="1">
      <c r="B54" s="143">
        <f>B6-'[3]15退休(公)-性別'!B6</f>
        <v>0</v>
      </c>
      <c r="C54" s="143">
        <f>C6-'[3]15退休(公)-性別'!C6</f>
        <v>0</v>
      </c>
      <c r="D54" s="143">
        <f>D6-'[3]15退休(公)-性別'!D6</f>
        <v>0</v>
      </c>
      <c r="E54" s="143">
        <f>E6-'[3]15退休(公)-性別'!E6</f>
        <v>0</v>
      </c>
      <c r="F54" s="143">
        <f>F6-'[3]15退休(公)-性別'!F6</f>
        <v>0</v>
      </c>
      <c r="G54" s="143">
        <f>G6-'[3]15退休(公)-性別'!G6</f>
        <v>0</v>
      </c>
    </row>
    <row r="55" spans="1:11" ht="32.25" customHeight="1">
      <c r="B55" s="143">
        <f>B7-'[3]15退休(公)-性別'!B7</f>
        <v>0</v>
      </c>
      <c r="C55" s="143">
        <f>C7-'[3]15退休(公)-性別'!C7</f>
        <v>0</v>
      </c>
      <c r="D55" s="143">
        <f>D7-'[3]15退休(公)-性別'!D7</f>
        <v>0</v>
      </c>
      <c r="E55" s="143">
        <f>E7-'[3]15退休(公)-性別'!E7</f>
        <v>0</v>
      </c>
      <c r="F55" s="143">
        <f>F7-'[3]15退休(公)-性別'!F7</f>
        <v>0</v>
      </c>
      <c r="G55" s="143">
        <f>G7-'[3]15退休(公)-性別'!G7</f>
        <v>0</v>
      </c>
    </row>
    <row r="56" spans="1:11" ht="32.25" customHeight="1">
      <c r="B56" s="143">
        <f>B8-'[3]15退休(公)-性別'!B8</f>
        <v>0</v>
      </c>
      <c r="C56" s="143">
        <f>C8-'[3]15退休(公)-性別'!C8</f>
        <v>0</v>
      </c>
      <c r="D56" s="143">
        <f>D8-'[3]15退休(公)-性別'!D8</f>
        <v>0</v>
      </c>
      <c r="E56" s="143">
        <f>E8-'[3]15退休(公)-性別'!E8</f>
        <v>0</v>
      </c>
      <c r="F56" s="143">
        <f>F8-'[3]15退休(公)-性別'!F8</f>
        <v>0</v>
      </c>
      <c r="G56" s="143">
        <f>G8-'[3]15退休(公)-性別'!G8</f>
        <v>0</v>
      </c>
    </row>
    <row r="57" spans="1:11" ht="32.25" customHeight="1">
      <c r="B57" s="143">
        <f>B9-'[3]15退休(公)-性別'!B9</f>
        <v>0</v>
      </c>
      <c r="C57" s="143">
        <f>C9-'[3]15退休(公)-性別'!C9</f>
        <v>0</v>
      </c>
      <c r="D57" s="143">
        <f>D9-'[3]15退休(公)-性別'!D9</f>
        <v>0</v>
      </c>
      <c r="E57" s="143">
        <f>E9-'[3]15退休(公)-性別'!E9</f>
        <v>0</v>
      </c>
      <c r="F57" s="143">
        <f>F9-'[3]15退休(公)-性別'!F9</f>
        <v>0</v>
      </c>
      <c r="G57" s="143">
        <f>G9-'[3]15退休(公)-性別'!G9</f>
        <v>0</v>
      </c>
    </row>
    <row r="58" spans="1:11" ht="32.25" customHeight="1">
      <c r="B58" s="143">
        <f>B10-'[3]15退休(公)-性別'!B10</f>
        <v>0</v>
      </c>
      <c r="C58" s="143">
        <f>C10-'[3]15退休(公)-性別'!C10</f>
        <v>0</v>
      </c>
      <c r="D58" s="143">
        <f>D10-'[3]15退休(公)-性別'!D10</f>
        <v>0</v>
      </c>
      <c r="E58" s="143">
        <f>E10-'[3]15退休(公)-性別'!E10</f>
        <v>0</v>
      </c>
      <c r="F58" s="143">
        <f>F10-'[3]15退休(公)-性別'!F10</f>
        <v>0</v>
      </c>
      <c r="G58" s="143">
        <f>G10-'[3]15退休(公)-性別'!G10</f>
        <v>0</v>
      </c>
    </row>
    <row r="59" spans="1:11" ht="32.25" customHeight="1">
      <c r="B59" s="143">
        <f>B11-'[3]15退休(公)-性別'!B11</f>
        <v>0</v>
      </c>
      <c r="C59" s="143">
        <f>C11-'[3]15退休(公)-性別'!C11</f>
        <v>0</v>
      </c>
      <c r="D59" s="143">
        <f>D11-'[3]15退休(公)-性別'!D11</f>
        <v>0</v>
      </c>
      <c r="E59" s="143">
        <f>E11-'[3]15退休(公)-性別'!E11</f>
        <v>0</v>
      </c>
      <c r="F59" s="143">
        <f>F11-'[3]15退休(公)-性別'!F11</f>
        <v>0</v>
      </c>
      <c r="G59" s="143">
        <f>G11-'[3]15退休(公)-性別'!G11</f>
        <v>0</v>
      </c>
    </row>
    <row r="60" spans="1:11" ht="32.25" customHeight="1">
      <c r="B60" s="143">
        <f>B12-'[3]15退休(公)-性別'!B12</f>
        <v>0</v>
      </c>
      <c r="C60" s="143">
        <f>C12-'[3]15退休(公)-性別'!C12</f>
        <v>0</v>
      </c>
      <c r="D60" s="143">
        <f>D12-'[3]15退休(公)-性別'!D12</f>
        <v>0</v>
      </c>
      <c r="E60" s="143">
        <f>E12-'[3]15退休(公)-性別'!E12</f>
        <v>0</v>
      </c>
      <c r="F60" s="143">
        <f>F12-'[3]15退休(公)-性別'!F12</f>
        <v>0</v>
      </c>
      <c r="G60" s="143">
        <f>G12-'[3]15退休(公)-性別'!G12</f>
        <v>0</v>
      </c>
    </row>
    <row r="61" spans="1:11" ht="32.25" customHeight="1">
      <c r="B61" s="143">
        <f>B13-'[3]15退休(公)-性別'!B13</f>
        <v>0</v>
      </c>
      <c r="C61" s="143">
        <f>C13-'[3]15退休(公)-性別'!C13</f>
        <v>0</v>
      </c>
      <c r="D61" s="143">
        <f>D13-'[3]15退休(公)-性別'!D13</f>
        <v>0</v>
      </c>
      <c r="E61" s="143">
        <f>E13-'[3]15退休(公)-性別'!E13</f>
        <v>0</v>
      </c>
      <c r="F61" s="143">
        <f>F13-'[3]15退休(公)-性別'!F13</f>
        <v>0</v>
      </c>
      <c r="G61" s="143">
        <f>G13-'[3]15退休(公)-性別'!G13</f>
        <v>0</v>
      </c>
    </row>
    <row r="62" spans="1:11" ht="32.25" customHeight="1">
      <c r="B62" s="143">
        <f>B14-'[3]15退休(公)-性別'!B14</f>
        <v>0</v>
      </c>
      <c r="C62" s="143">
        <f>C14-'[3]15退休(公)-性別'!C14</f>
        <v>0</v>
      </c>
      <c r="D62" s="143">
        <f>D14-'[3]15退休(公)-性別'!D14</f>
        <v>0</v>
      </c>
      <c r="E62" s="143">
        <f>E14-'[3]15退休(公)-性別'!E14</f>
        <v>0</v>
      </c>
      <c r="F62" s="143">
        <f>F14-'[3]15退休(公)-性別'!F14</f>
        <v>0</v>
      </c>
      <c r="G62" s="143">
        <f>G14-'[3]15退休(公)-性別'!G14</f>
        <v>0</v>
      </c>
    </row>
    <row r="63" spans="1:11" ht="32.25" customHeight="1">
      <c r="B63" s="143">
        <f>B15-'[3]15退休(公)-性別'!B15</f>
        <v>0</v>
      </c>
      <c r="C63" s="143">
        <f>C15-'[3]15退休(公)-性別'!C15</f>
        <v>0</v>
      </c>
      <c r="D63" s="143">
        <f>D15-'[3]15退休(公)-性別'!D15</f>
        <v>0</v>
      </c>
      <c r="E63" s="143">
        <f>E15-'[3]15退休(公)-性別'!E15</f>
        <v>0</v>
      </c>
      <c r="F63" s="143">
        <f>F15-'[3]15退休(公)-性別'!F15</f>
        <v>0</v>
      </c>
      <c r="G63" s="143">
        <f>G15-'[3]15退休(公)-性別'!G15</f>
        <v>0</v>
      </c>
    </row>
    <row r="64" spans="1:11" ht="32.25" customHeight="1">
      <c r="B64" s="143">
        <f>B16-'[3]15退休(公)-性別'!B16</f>
        <v>0</v>
      </c>
      <c r="C64" s="143">
        <f>C16-'[3]15退休(公)-性別'!C16</f>
        <v>0</v>
      </c>
      <c r="D64" s="143">
        <f>D16-'[3]15退休(公)-性別'!D16</f>
        <v>0</v>
      </c>
      <c r="E64" s="143">
        <f>E16-'[3]15退休(公)-性別'!E16</f>
        <v>0</v>
      </c>
      <c r="F64" s="143">
        <f>F16-'[3]15退休(公)-性別'!F16</f>
        <v>0</v>
      </c>
      <c r="G64" s="143">
        <f>G16-'[3]15退休(公)-性別'!G16</f>
        <v>0</v>
      </c>
    </row>
    <row r="65" spans="2:7" ht="32.25" customHeight="1">
      <c r="B65" s="143">
        <f>B17-'[3]15退休(公)-性別'!B17</f>
        <v>0</v>
      </c>
      <c r="C65" s="143">
        <f>C17-'[3]15退休(公)-性別'!C17</f>
        <v>0</v>
      </c>
      <c r="D65" s="143">
        <f>D17-'[3]15退休(公)-性別'!D17</f>
        <v>0</v>
      </c>
      <c r="E65" s="143">
        <f>E17-'[3]15退休(公)-性別'!E17</f>
        <v>0</v>
      </c>
      <c r="F65" s="143">
        <f>F17-'[3]15退休(公)-性別'!F17</f>
        <v>0</v>
      </c>
      <c r="G65" s="143">
        <f>G17-'[3]15退休(公)-性別'!G17</f>
        <v>0</v>
      </c>
    </row>
    <row r="66" spans="2:7" ht="32.25" customHeight="1">
      <c r="B66" s="143">
        <f>B18-'[3]15退休(公)-性別'!B18</f>
        <v>0</v>
      </c>
      <c r="C66" s="143">
        <f>C18-'[3]15退休(公)-性別'!C18</f>
        <v>0</v>
      </c>
      <c r="D66" s="143">
        <f>D18-'[3]15退休(公)-性別'!D18</f>
        <v>0</v>
      </c>
      <c r="E66" s="143">
        <f>E18-'[3]15退休(公)-性別'!E18</f>
        <v>0</v>
      </c>
      <c r="F66" s="143">
        <f>F18-'[3]15退休(公)-性別'!F18</f>
        <v>0</v>
      </c>
      <c r="G66" s="143">
        <f>G18-'[3]15退休(公)-性別'!G18</f>
        <v>0</v>
      </c>
    </row>
    <row r="67" spans="2:7" ht="32.25" customHeight="1">
      <c r="B67" s="143">
        <f>B19-'[3]15退休(公)-性別'!B19</f>
        <v>0</v>
      </c>
      <c r="C67" s="143">
        <f>C19-'[3]15退休(公)-性別'!C19</f>
        <v>0</v>
      </c>
      <c r="D67" s="143">
        <f>D19-'[3]15退休(公)-性別'!D19</f>
        <v>0</v>
      </c>
      <c r="E67" s="143">
        <f>E19-'[3]15退休(公)-性別'!E19</f>
        <v>0</v>
      </c>
      <c r="F67" s="143">
        <f>F19-'[3]15退休(公)-性別'!F19</f>
        <v>0</v>
      </c>
      <c r="G67" s="143">
        <f>G19-'[3]15退休(公)-性別'!G19</f>
        <v>0</v>
      </c>
    </row>
    <row r="68" spans="2:7" ht="32.25" customHeight="1">
      <c r="B68" s="143">
        <f>B20-'[3]15退休(公)-性別'!B20</f>
        <v>0</v>
      </c>
      <c r="C68" s="143">
        <f>C20-'[3]15退休(公)-性別'!C20</f>
        <v>0</v>
      </c>
      <c r="D68" s="143">
        <f>D20-'[3]15退休(公)-性別'!D20</f>
        <v>0</v>
      </c>
      <c r="E68" s="143">
        <f>E20-'[3]15退休(公)-性別'!E20</f>
        <v>0</v>
      </c>
      <c r="F68" s="143">
        <f>F20-'[3]15退休(公)-性別'!F20</f>
        <v>0</v>
      </c>
      <c r="G68" s="143">
        <f>G20-'[3]15退休(公)-性別'!G20</f>
        <v>0</v>
      </c>
    </row>
    <row r="69" spans="2:7" ht="32.25" customHeight="1">
      <c r="B69" s="143">
        <f>B21-'[3]15退休(公)-性別'!B21</f>
        <v>0</v>
      </c>
      <c r="C69" s="143">
        <f>C21-'[3]15退休(公)-性別'!C21</f>
        <v>0</v>
      </c>
      <c r="D69" s="143">
        <f>D21-'[3]15退休(公)-性別'!D21</f>
        <v>0</v>
      </c>
      <c r="E69" s="143">
        <f>E21-'[3]15退休(公)-性別'!E21</f>
        <v>0</v>
      </c>
      <c r="F69" s="143">
        <f>F21-'[3]15退休(公)-性別'!F21</f>
        <v>0</v>
      </c>
      <c r="G69" s="143">
        <f>G21-'[3]15退休(公)-性別'!G21</f>
        <v>0</v>
      </c>
    </row>
    <row r="70" spans="2:7" ht="32.25" customHeight="1">
      <c r="B70" s="143">
        <f>B22-'[3]15退休(公)-性別'!B22</f>
        <v>0</v>
      </c>
      <c r="C70" s="143">
        <f>C22-'[3]15退休(公)-性別'!C22</f>
        <v>0</v>
      </c>
      <c r="D70" s="143">
        <f>D22-'[3]15退休(公)-性別'!D22</f>
        <v>0</v>
      </c>
      <c r="E70" s="143">
        <f>E22-'[3]15退休(公)-性別'!E22</f>
        <v>0</v>
      </c>
      <c r="F70" s="143">
        <f>F22-'[3]15退休(公)-性別'!F22</f>
        <v>0</v>
      </c>
      <c r="G70" s="143">
        <f>G22-'[3]15退休(公)-性別'!G22</f>
        <v>0</v>
      </c>
    </row>
    <row r="71" spans="2:7" ht="32.25" customHeight="1">
      <c r="B71" s="143">
        <f>B23-'[3]15退休(公)-性別'!B23</f>
        <v>0</v>
      </c>
      <c r="C71" s="143">
        <f>C23-'[3]15退休(公)-性別'!C23</f>
        <v>0</v>
      </c>
      <c r="D71" s="143">
        <f>D23-'[3]15退休(公)-性別'!D23</f>
        <v>0</v>
      </c>
      <c r="E71" s="143">
        <f>E23-'[3]15退休(公)-性別'!E23</f>
        <v>0</v>
      </c>
      <c r="F71" s="143">
        <f>F23-'[3]15退休(公)-性別'!F23</f>
        <v>0</v>
      </c>
      <c r="G71" s="143">
        <f>G23-'[3]15退休(公)-性別'!G23</f>
        <v>0</v>
      </c>
    </row>
    <row r="72" spans="2:7" ht="32.25" customHeight="1">
      <c r="B72" s="143">
        <f>B24-'[3]15退休(公)-性別'!B24</f>
        <v>0</v>
      </c>
      <c r="C72" s="143">
        <f>C24-'[3]15退休(公)-性別'!C24</f>
        <v>0</v>
      </c>
      <c r="D72" s="143">
        <f>D24-'[3]15退休(公)-性別'!D24</f>
        <v>0</v>
      </c>
      <c r="E72" s="143">
        <f>E24-'[3]15退休(公)-性別'!E24</f>
        <v>0</v>
      </c>
      <c r="F72" s="143">
        <f>F24-'[3]15退休(公)-性別'!F24</f>
        <v>0</v>
      </c>
      <c r="G72" s="143">
        <f>G24-'[3]15退休(公)-性別'!G24</f>
        <v>0</v>
      </c>
    </row>
    <row r="73" spans="2:7" ht="32.25" customHeight="1">
      <c r="B73" s="143">
        <f>B25-'[3]15退休(公)-性別'!B25</f>
        <v>0</v>
      </c>
      <c r="C73" s="143">
        <f>C25-'[3]15退休(公)-性別'!C25</f>
        <v>0</v>
      </c>
      <c r="D73" s="143">
        <f>D25-'[3]15退休(公)-性別'!D25</f>
        <v>0</v>
      </c>
      <c r="E73" s="143">
        <f>E25-'[3]15退休(公)-性別'!E25</f>
        <v>0</v>
      </c>
      <c r="F73" s="143">
        <f>F25-'[3]15退休(公)-性別'!F25</f>
        <v>0</v>
      </c>
      <c r="G73" s="143">
        <f>G25-'[3]15退休(公)-性別'!G25</f>
        <v>0</v>
      </c>
    </row>
    <row r="74" spans="2:7" ht="32.25" customHeight="1">
      <c r="B74" s="143">
        <f>B26-'[3]15退休(公)-性別'!B26</f>
        <v>0</v>
      </c>
      <c r="C74" s="143">
        <f>C26-'[3]15退休(公)-性別'!C26</f>
        <v>0</v>
      </c>
      <c r="D74" s="143">
        <f>D26-'[3]15退休(公)-性別'!D26</f>
        <v>0</v>
      </c>
      <c r="E74" s="143">
        <f>E26-'[3]15退休(公)-性別'!E26</f>
        <v>0</v>
      </c>
      <c r="F74" s="143">
        <f>F26-'[3]15退休(公)-性別'!F26</f>
        <v>0</v>
      </c>
      <c r="G74" s="143">
        <f>G26-'[3]15退休(公)-性別'!G26</f>
        <v>0</v>
      </c>
    </row>
    <row r="75" spans="2:7" ht="32.25" customHeight="1">
      <c r="B75" s="143">
        <f>B27-'[3]15退休(公)-性別'!B27</f>
        <v>0</v>
      </c>
      <c r="C75" s="143">
        <f>C27-'[3]15退休(公)-性別'!C27</f>
        <v>0</v>
      </c>
      <c r="D75" s="143">
        <f>D27-'[3]15退休(公)-性別'!D27</f>
        <v>0</v>
      </c>
      <c r="E75" s="143">
        <f>E27-'[3]15退休(公)-性別'!E27</f>
        <v>0</v>
      </c>
      <c r="F75" s="143">
        <f>F27-'[3]15退休(公)-性別'!F27</f>
        <v>0</v>
      </c>
      <c r="G75" s="143">
        <f>G27-'[3]15退休(公)-性別'!G27</f>
        <v>0</v>
      </c>
    </row>
    <row r="76" spans="2:7" ht="32.25" customHeight="1">
      <c r="B76" s="143">
        <f>B28-'[3]15退休(公)-性別'!B28</f>
        <v>0</v>
      </c>
      <c r="C76" s="143">
        <f>C28-'[3]15退休(公)-性別'!C28</f>
        <v>0</v>
      </c>
      <c r="D76" s="143">
        <f>D28-'[3]15退休(公)-性別'!D28</f>
        <v>0</v>
      </c>
      <c r="E76" s="143">
        <f>E28-'[3]15退休(公)-性別'!E28</f>
        <v>0</v>
      </c>
      <c r="F76" s="143">
        <f>F28-'[3]15退休(公)-性別'!F28</f>
        <v>0</v>
      </c>
      <c r="G76" s="143">
        <f>G28-'[3]15退休(公)-性別'!G28</f>
        <v>0</v>
      </c>
    </row>
    <row r="77" spans="2:7" ht="32.25" customHeight="1">
      <c r="B77" s="143">
        <f>B29-'[3]15退休(公)-性別'!B29</f>
        <v>0</v>
      </c>
      <c r="C77" s="143">
        <f>C29-'[3]15退休(公)-性別'!C29</f>
        <v>0</v>
      </c>
      <c r="D77" s="143">
        <f>D29-'[3]15退休(公)-性別'!D29</f>
        <v>0</v>
      </c>
      <c r="E77" s="143">
        <f>E29-'[3]15退休(公)-性別'!E29</f>
        <v>0</v>
      </c>
      <c r="F77" s="143">
        <f>F29-'[3]15退休(公)-性別'!F29</f>
        <v>0</v>
      </c>
      <c r="G77" s="143">
        <f>G29-'[3]15退休(公)-性別'!G29</f>
        <v>0</v>
      </c>
    </row>
    <row r="78" spans="2:7" ht="32.25" customHeight="1">
      <c r="B78" s="143">
        <f>B30-'[3]15退休(公)-性別'!B30</f>
        <v>0</v>
      </c>
      <c r="C78" s="143">
        <f>C30-'[3]15退休(公)-性別'!C30</f>
        <v>0</v>
      </c>
      <c r="D78" s="143">
        <f>D30-'[3]15退休(公)-性別'!D30</f>
        <v>0</v>
      </c>
      <c r="E78" s="143">
        <f>E30-'[3]15退休(公)-性別'!E30</f>
        <v>0</v>
      </c>
      <c r="F78" s="143">
        <f>F30-'[3]15退休(公)-性別'!F30</f>
        <v>0</v>
      </c>
      <c r="G78" s="143">
        <f>G30-'[3]15退休(公)-性別'!G30</f>
        <v>0</v>
      </c>
    </row>
    <row r="79" spans="2:7" ht="32.25" customHeight="1">
      <c r="B79" s="143">
        <f>B31-'[3]15退休(公)-性別'!B31</f>
        <v>0</v>
      </c>
      <c r="C79" s="143">
        <f>C31-'[3]15退休(公)-性別'!C31</f>
        <v>0</v>
      </c>
      <c r="D79" s="143">
        <f>D31-'[3]15退休(公)-性別'!D31</f>
        <v>0</v>
      </c>
      <c r="E79" s="143">
        <f>E31-'[3]15退休(公)-性別'!E31</f>
        <v>0</v>
      </c>
      <c r="F79" s="143">
        <f>F31-'[3]15退休(公)-性別'!F31</f>
        <v>0</v>
      </c>
      <c r="G79" s="143">
        <f>G31-'[3]15退休(公)-性別'!G31</f>
        <v>0</v>
      </c>
    </row>
    <row r="80" spans="2:7" ht="32.25" customHeight="1">
      <c r="B80" s="143">
        <f>B32-'[3]15退休(公)-性別'!B32</f>
        <v>0</v>
      </c>
      <c r="C80" s="143">
        <f>C32-'[3]15退休(公)-性別'!C32</f>
        <v>0</v>
      </c>
      <c r="D80" s="143">
        <f>D32-'[3]15退休(公)-性別'!D32</f>
        <v>0</v>
      </c>
      <c r="E80" s="143">
        <f>E32-'[3]15退休(公)-性別'!E32</f>
        <v>0</v>
      </c>
      <c r="F80" s="143">
        <f>F32-'[3]15退休(公)-性別'!F32</f>
        <v>0</v>
      </c>
      <c r="G80" s="143">
        <f>G32-'[3]15退休(公)-性別'!G32</f>
        <v>0</v>
      </c>
    </row>
    <row r="81" spans="2:7" ht="32.25" customHeight="1">
      <c r="B81" s="143">
        <f>B33-'[3]15退休(公)-性別'!B33</f>
        <v>0</v>
      </c>
      <c r="C81" s="143">
        <f>C33-'[3]15退休(公)-性別'!C33</f>
        <v>0</v>
      </c>
      <c r="D81" s="143">
        <f>D33-'[3]15退休(公)-性別'!D33</f>
        <v>0</v>
      </c>
      <c r="E81" s="143">
        <f>E33-'[3]15退休(公)-性別'!E33</f>
        <v>0</v>
      </c>
      <c r="F81" s="143">
        <f>F33-'[3]15退休(公)-性別'!F33</f>
        <v>0</v>
      </c>
      <c r="G81" s="143">
        <f>G33-'[3]15退休(公)-性別'!G33</f>
        <v>0</v>
      </c>
    </row>
    <row r="82" spans="2:7" ht="32.25" customHeight="1">
      <c r="B82" s="143">
        <f>B34-'[3]15退休(公)-性別'!B34</f>
        <v>0</v>
      </c>
      <c r="C82" s="143">
        <f>C34-'[3]15退休(公)-性別'!C34</f>
        <v>0</v>
      </c>
      <c r="D82" s="143">
        <f>D34-'[3]15退休(公)-性別'!D34</f>
        <v>0</v>
      </c>
      <c r="E82" s="143">
        <f>E34-'[3]15退休(公)-性別'!E34</f>
        <v>0</v>
      </c>
      <c r="F82" s="143">
        <f>F34-'[3]15退休(公)-性別'!F34</f>
        <v>0</v>
      </c>
      <c r="G82" s="143">
        <f>G34-'[3]15退休(公)-性別'!G34</f>
        <v>0</v>
      </c>
    </row>
    <row r="83" spans="2:7" ht="32.25" customHeight="1">
      <c r="B83" s="143">
        <f>B35-'[3]15退休(公)-性別'!B35</f>
        <v>0</v>
      </c>
      <c r="C83" s="143">
        <f>C35-'[3]15退休(公)-性別'!C35</f>
        <v>0</v>
      </c>
      <c r="D83" s="143">
        <f>D35-'[3]15退休(公)-性別'!D35</f>
        <v>0</v>
      </c>
      <c r="E83" s="143">
        <f>E35-'[3]15退休(公)-性別'!E35</f>
        <v>0</v>
      </c>
      <c r="F83" s="143">
        <f>F35-'[3]15退休(公)-性別'!F35</f>
        <v>0</v>
      </c>
      <c r="G83" s="143">
        <f>G35-'[3]15退休(公)-性別'!G35</f>
        <v>0</v>
      </c>
    </row>
    <row r="84" spans="2:7" ht="32.25" customHeight="1">
      <c r="B84" s="143">
        <f>B36-'[3]15退休(公)-性別'!B36</f>
        <v>0</v>
      </c>
      <c r="C84" s="143">
        <f>C36-'[3]15退休(公)-性別'!C36</f>
        <v>0</v>
      </c>
      <c r="D84" s="143">
        <f>D36-'[3]15退休(公)-性別'!D36</f>
        <v>0</v>
      </c>
      <c r="E84" s="143">
        <f>E36-'[3]15退休(公)-性別'!E36</f>
        <v>0</v>
      </c>
      <c r="F84" s="143">
        <f>F36-'[3]15退休(公)-性別'!F36</f>
        <v>0</v>
      </c>
      <c r="G84" s="143">
        <f>G36-'[3]15退休(公)-性別'!G36</f>
        <v>0</v>
      </c>
    </row>
    <row r="85" spans="2:7" ht="32.25" customHeight="1">
      <c r="B85" s="143">
        <f>B37-'[3]15退休(公)-性別'!B37</f>
        <v>0</v>
      </c>
      <c r="C85" s="143">
        <f>C37-'[3]15退休(公)-性別'!C37</f>
        <v>0</v>
      </c>
      <c r="D85" s="143">
        <f>D37-'[3]15退休(公)-性別'!D37</f>
        <v>0</v>
      </c>
      <c r="E85" s="143">
        <f>E37-'[3]15退休(公)-性別'!E37</f>
        <v>0</v>
      </c>
      <c r="F85" s="143">
        <f>F37-'[3]15退休(公)-性別'!F37</f>
        <v>0</v>
      </c>
      <c r="G85" s="143">
        <f>G37-'[3]15退休(公)-性別'!G37</f>
        <v>0</v>
      </c>
    </row>
    <row r="86" spans="2:7" ht="32.25" customHeight="1">
      <c r="B86" s="143">
        <f>B38-'[3]15退休(公)-性別'!B38</f>
        <v>0</v>
      </c>
      <c r="C86" s="143">
        <f>C38-'[3]15退休(公)-性別'!C38</f>
        <v>0</v>
      </c>
      <c r="D86" s="143">
        <f>D38-'[3]15退休(公)-性別'!D38</f>
        <v>0</v>
      </c>
      <c r="E86" s="143">
        <f>E38-'[3]15退休(公)-性別'!E38</f>
        <v>0</v>
      </c>
      <c r="F86" s="143">
        <f>F38-'[3]15退休(公)-性別'!F38</f>
        <v>0</v>
      </c>
      <c r="G86" s="143">
        <f>G38-'[3]15退休(公)-性別'!G38</f>
        <v>0</v>
      </c>
    </row>
    <row r="87" spans="2:7" ht="32.25" customHeight="1">
      <c r="B87" s="143">
        <f>B39-'[3]15退休(公)-性別'!B39</f>
        <v>0</v>
      </c>
      <c r="C87" s="143">
        <f>C39-'[3]15退休(公)-性別'!C39</f>
        <v>0</v>
      </c>
      <c r="D87" s="143">
        <f>D39-'[3]15退休(公)-性別'!D39</f>
        <v>0</v>
      </c>
      <c r="E87" s="143">
        <f>E39-'[3]15退休(公)-性別'!E39</f>
        <v>0</v>
      </c>
      <c r="F87" s="143">
        <f>F39-'[3]15退休(公)-性別'!F39</f>
        <v>0</v>
      </c>
      <c r="G87" s="143">
        <f>G39-'[3]15退休(公)-性別'!G39</f>
        <v>0</v>
      </c>
    </row>
    <row r="88" spans="2:7" ht="32.25" customHeight="1">
      <c r="B88" s="143">
        <f>B40-'[3]15退休(公)-性別'!B40</f>
        <v>0</v>
      </c>
      <c r="C88" s="143">
        <f>C40-'[3]15退休(公)-性別'!C40</f>
        <v>0</v>
      </c>
      <c r="D88" s="143">
        <f>D40-'[3]15退休(公)-性別'!D40</f>
        <v>0</v>
      </c>
      <c r="E88" s="143">
        <f>E40-'[3]15退休(公)-性別'!E40</f>
        <v>0</v>
      </c>
      <c r="F88" s="143">
        <f>F40-'[3]15退休(公)-性別'!F40</f>
        <v>0</v>
      </c>
      <c r="G88" s="143">
        <f>G40-'[3]15退休(公)-性別'!G40</f>
        <v>0</v>
      </c>
    </row>
    <row r="89" spans="2:7" ht="32.25" customHeight="1">
      <c r="B89" s="143">
        <f>B41-'[3]15退休(公)-性別'!B41</f>
        <v>0</v>
      </c>
      <c r="C89" s="143">
        <f>C41-'[3]15退休(公)-性別'!C41</f>
        <v>0</v>
      </c>
      <c r="D89" s="143">
        <f>D41-'[3]15退休(公)-性別'!D41</f>
        <v>0</v>
      </c>
      <c r="E89" s="143">
        <f>E41-'[3]15退休(公)-性別'!E41</f>
        <v>0</v>
      </c>
      <c r="F89" s="143">
        <f>F41-'[3]15退休(公)-性別'!F41</f>
        <v>0</v>
      </c>
      <c r="G89" s="143">
        <f>G41-'[3]15退休(公)-性別'!G41</f>
        <v>0</v>
      </c>
    </row>
    <row r="90" spans="2:7" ht="32.25" customHeight="1">
      <c r="B90" s="143">
        <f>B42-'[3]15退休(公)-性別'!B42</f>
        <v>0</v>
      </c>
      <c r="C90" s="143">
        <f>C42-'[3]15退休(公)-性別'!C42</f>
        <v>0</v>
      </c>
      <c r="D90" s="143">
        <f>D42-'[3]15退休(公)-性別'!D42</f>
        <v>0</v>
      </c>
      <c r="E90" s="143">
        <f>E42-'[3]15退休(公)-性別'!E42</f>
        <v>0</v>
      </c>
      <c r="F90" s="143">
        <f>F42-'[3]15退休(公)-性別'!F42</f>
        <v>0</v>
      </c>
      <c r="G90" s="143">
        <f>G42-'[3]15退休(公)-性別'!G42</f>
        <v>0</v>
      </c>
    </row>
    <row r="91" spans="2:7" ht="32.25" customHeight="1">
      <c r="B91" s="143">
        <f>B43-'[3]15退休(公)-性別'!B43</f>
        <v>0</v>
      </c>
      <c r="C91" s="143">
        <f>C43-'[3]15退休(公)-性別'!C43</f>
        <v>0</v>
      </c>
      <c r="D91" s="143">
        <f>D43-'[3]15退休(公)-性別'!D43</f>
        <v>0</v>
      </c>
      <c r="E91" s="143">
        <f>E43-'[3]15退休(公)-性別'!E43</f>
        <v>0</v>
      </c>
      <c r="F91" s="143">
        <f>F43-'[3]15退休(公)-性別'!F43</f>
        <v>0</v>
      </c>
      <c r="G91" s="143">
        <f>G43-'[3]15退休(公)-性別'!G43</f>
        <v>0</v>
      </c>
    </row>
    <row r="92" spans="2:7" ht="32.25" customHeight="1">
      <c r="B92" s="143">
        <f>B44-'[3]15退休(公)-性別'!B44</f>
        <v>0</v>
      </c>
      <c r="C92" s="143">
        <f>C44-'[3]15退休(公)-性別'!C44</f>
        <v>0</v>
      </c>
      <c r="D92" s="143">
        <f>D44-'[3]15退休(公)-性別'!D44</f>
        <v>0</v>
      </c>
      <c r="E92" s="143">
        <f>E44-'[3]15退休(公)-性別'!E44</f>
        <v>0</v>
      </c>
      <c r="F92" s="143">
        <f>F44-'[3]15退休(公)-性別'!F44</f>
        <v>0</v>
      </c>
      <c r="G92" s="143">
        <f>G44-'[3]15退休(公)-性別'!G44</f>
        <v>0</v>
      </c>
    </row>
    <row r="93" spans="2:7" ht="32.25" customHeight="1">
      <c r="B93" s="143">
        <f>B45-'[3]15退休(公)-性別'!B45</f>
        <v>0</v>
      </c>
      <c r="C93" s="143">
        <f>C45-'[3]15退休(公)-性別'!C45</f>
        <v>0</v>
      </c>
      <c r="D93" s="143">
        <f>D45-'[3]15退休(公)-性別'!D45</f>
        <v>0</v>
      </c>
      <c r="E93" s="143">
        <f>E45-'[3]15退休(公)-性別'!E45</f>
        <v>0</v>
      </c>
      <c r="F93" s="143">
        <f>F45-'[3]15退休(公)-性別'!F45</f>
        <v>0</v>
      </c>
      <c r="G93" s="143">
        <f>G45-'[3]15退休(公)-性別'!G45</f>
        <v>0</v>
      </c>
    </row>
    <row r="94" spans="2:7" ht="32.25" customHeight="1">
      <c r="B94" s="143">
        <f>B46-'[3]15退休(公)-性別'!B46</f>
        <v>0</v>
      </c>
      <c r="C94" s="143">
        <f>C46-'[3]15退休(公)-性別'!C46</f>
        <v>0</v>
      </c>
      <c r="D94" s="143">
        <f>D46-'[3]15退休(公)-性別'!D46</f>
        <v>0</v>
      </c>
      <c r="E94" s="143">
        <f>E46-'[3]15退休(公)-性別'!E46</f>
        <v>0</v>
      </c>
      <c r="F94" s="143">
        <f>F46-'[3]15退休(公)-性別'!F46</f>
        <v>0</v>
      </c>
      <c r="G94" s="143">
        <f>G46-'[3]15退休(公)-性別'!G46</f>
        <v>0</v>
      </c>
    </row>
    <row r="95" spans="2:7" ht="32.25" customHeight="1">
      <c r="B95" s="143">
        <f>B47-'[3]15退休(公)-性別'!B47</f>
        <v>0</v>
      </c>
      <c r="C95" s="143">
        <f>C47-'[3]15退休(公)-性別'!C47</f>
        <v>0</v>
      </c>
      <c r="D95" s="143">
        <f>D47-'[3]15退休(公)-性別'!D47</f>
        <v>0</v>
      </c>
      <c r="E95" s="143">
        <f>E47-'[3]15退休(公)-性別'!E47</f>
        <v>0</v>
      </c>
      <c r="F95" s="143">
        <f>F47-'[3]15退休(公)-性別'!F47</f>
        <v>0</v>
      </c>
      <c r="G95" s="143">
        <f>G47-'[3]15退休(公)-性別'!G47</f>
        <v>0</v>
      </c>
    </row>
    <row r="96" spans="2:7" ht="32.25" customHeight="1">
      <c r="B96" s="143">
        <f>B48-'[3]15退休(公)-性別'!B48</f>
        <v>0</v>
      </c>
      <c r="C96" s="143">
        <f>C48-'[3]15退休(公)-性別'!C48</f>
        <v>0</v>
      </c>
      <c r="D96" s="143">
        <f>D48-'[3]15退休(公)-性別'!D48</f>
        <v>0</v>
      </c>
      <c r="E96" s="143">
        <f>E48-'[3]15退休(公)-性別'!E48</f>
        <v>0</v>
      </c>
      <c r="F96" s="143">
        <f>F48-'[3]15退休(公)-性別'!F48</f>
        <v>0</v>
      </c>
      <c r="G96" s="143">
        <f>G48-'[3]15退休(公)-性別'!G48</f>
        <v>0</v>
      </c>
    </row>
    <row r="97" spans="2:7" ht="32.25" customHeight="1">
      <c r="B97" s="143">
        <f>B49-'[3]15退休(公)-性別'!B49</f>
        <v>0</v>
      </c>
      <c r="C97" s="143">
        <f>C49-'[3]15退休(公)-性別'!C49</f>
        <v>0</v>
      </c>
      <c r="D97" s="143">
        <f>D49-'[3]15退休(公)-性別'!D49</f>
        <v>0</v>
      </c>
      <c r="E97" s="143">
        <f>E49-'[3]15退休(公)-性別'!E49</f>
        <v>0</v>
      </c>
      <c r="F97" s="143">
        <f>F49-'[3]15退休(公)-性別'!F49</f>
        <v>0</v>
      </c>
      <c r="G97" s="143">
        <f>G49-'[3]15退休(公)-性別'!G49</f>
        <v>0</v>
      </c>
    </row>
    <row r="98" spans="2:7" ht="32.25" customHeight="1">
      <c r="B98" s="143">
        <f>B50-'[3]15退休(公)-性別'!B50</f>
        <v>0</v>
      </c>
      <c r="C98" s="143">
        <f>C50-'[3]15退休(公)-性別'!C50</f>
        <v>0</v>
      </c>
      <c r="D98" s="143">
        <f>D50-'[3]15退休(公)-性別'!D50</f>
        <v>0</v>
      </c>
      <c r="E98" s="143">
        <f>E50-'[3]15退休(公)-性別'!E50</f>
        <v>0</v>
      </c>
      <c r="F98" s="143">
        <f>F50-'[3]15退休(公)-性別'!F50</f>
        <v>0</v>
      </c>
      <c r="G98" s="143">
        <f>G50-'[3]15退休(公)-性別'!G50</f>
        <v>0</v>
      </c>
    </row>
    <row r="99" spans="2:7" ht="32.25" customHeight="1">
      <c r="B99" s="143"/>
      <c r="C99" s="143"/>
      <c r="D99" s="143"/>
      <c r="E99" s="143"/>
      <c r="F99" s="143"/>
      <c r="G99" s="143"/>
    </row>
    <row r="100" spans="2:7" ht="32.25" customHeight="1"/>
    <row r="101" spans="2:7" ht="32.25" customHeight="1"/>
    <row r="102" spans="2:7" ht="32.25" customHeight="1"/>
    <row r="103" spans="2:7" ht="32.25" customHeight="1"/>
    <row r="104" spans="2:7" ht="32.25" customHeight="1"/>
    <row r="105" spans="2:7" ht="32.25" customHeight="1"/>
    <row r="106" spans="2:7" ht="32.25" customHeight="1"/>
    <row r="107" spans="2:7" ht="32.25" customHeight="1"/>
    <row r="108" spans="2:7" ht="32.25" customHeight="1"/>
    <row r="109" spans="2:7" ht="32.25" customHeight="1"/>
    <row r="110" spans="2:7" ht="32.25" customHeight="1"/>
    <row r="111" spans="2:7" ht="32.25" customHeight="1"/>
    <row r="112" spans="2:7"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sheetData>
  <mergeCells count="6">
    <mergeCell ref="A1:G1"/>
    <mergeCell ref="A2:F2"/>
    <mergeCell ref="A3:A4"/>
    <mergeCell ref="B3:B4"/>
    <mergeCell ref="C3:F3"/>
    <mergeCell ref="G3:G4"/>
  </mergeCells>
  <phoneticPr fontId="3" type="noConversion"/>
  <pageMargins left="0.62992125984251968" right="0" top="0.59055118110236227" bottom="0.52" header="0" footer="0"/>
  <pageSetup paperSize="9" scale="92" firstPageNumber="4" fitToHeight="2" orientation="portrait" r:id="rId1"/>
  <headerFooter alignWithMargins="0"/>
  <rowBreaks count="1" manualBreakCount="1">
    <brk id="29" max="6" man="1"/>
  </rowBreaks>
</worksheet>
</file>

<file path=xl/worksheets/sheet18.xml><?xml version="1.0" encoding="utf-8"?>
<worksheet xmlns="http://schemas.openxmlformats.org/spreadsheetml/2006/main" xmlns:r="http://schemas.openxmlformats.org/officeDocument/2006/relationships">
  <sheetPr>
    <tabColor indexed="13"/>
  </sheetPr>
  <dimension ref="A1:O203"/>
  <sheetViews>
    <sheetView view="pageBreakPreview" zoomScale="90" zoomScaleNormal="100" zoomScaleSheetLayoutView="90"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2.375" style="26" customWidth="1"/>
    <col min="2" max="5" width="11.625" style="1" customWidth="1"/>
    <col min="6" max="6" width="15.125" style="1" customWidth="1"/>
    <col min="7" max="7" width="13" style="1" customWidth="1"/>
    <col min="8" max="16384" width="8.125" style="1"/>
  </cols>
  <sheetData>
    <row r="1" spans="1:15" ht="33" customHeight="1">
      <c r="A1" s="778" t="s">
        <v>149</v>
      </c>
      <c r="B1" s="778"/>
      <c r="C1" s="778"/>
      <c r="D1" s="778"/>
      <c r="E1" s="778"/>
      <c r="F1" s="778"/>
      <c r="G1" s="778"/>
    </row>
    <row r="2" spans="1:15" s="2" customFormat="1" ht="33" customHeight="1">
      <c r="A2" s="792" t="s">
        <v>406</v>
      </c>
      <c r="B2" s="792"/>
      <c r="C2" s="792"/>
      <c r="D2" s="792"/>
      <c r="E2" s="792"/>
      <c r="F2" s="792"/>
      <c r="G2" s="115" t="s">
        <v>145</v>
      </c>
    </row>
    <row r="3" spans="1:15" s="2" customFormat="1" ht="27.75" customHeight="1">
      <c r="A3" s="793" t="s">
        <v>48</v>
      </c>
      <c r="B3" s="794" t="s">
        <v>49</v>
      </c>
      <c r="C3" s="795" t="s">
        <v>66</v>
      </c>
      <c r="D3" s="795"/>
      <c r="E3" s="795"/>
      <c r="F3" s="795"/>
      <c r="G3" s="796" t="s">
        <v>101</v>
      </c>
    </row>
    <row r="4" spans="1:15" s="2" customFormat="1" ht="36.75" customHeight="1">
      <c r="A4" s="793"/>
      <c r="B4" s="794"/>
      <c r="C4" s="100" t="s">
        <v>58</v>
      </c>
      <c r="D4" s="100" t="s">
        <v>74</v>
      </c>
      <c r="E4" s="100" t="s">
        <v>75</v>
      </c>
      <c r="F4" s="99" t="s">
        <v>76</v>
      </c>
      <c r="G4" s="796"/>
      <c r="I4" s="2" t="s">
        <v>1023</v>
      </c>
    </row>
    <row r="5" spans="1:15" s="6" customFormat="1" ht="27.75" customHeight="1">
      <c r="A5" s="42" t="s">
        <v>107</v>
      </c>
      <c r="B5" s="30">
        <f>SUM(D5:G5)</f>
        <v>3972</v>
      </c>
      <c r="C5" s="30">
        <f>SUM(D5:F5)</f>
        <v>3962</v>
      </c>
      <c r="D5" s="30">
        <f>SUM(D8:D29)+SUM(D30:D50)</f>
        <v>87</v>
      </c>
      <c r="E5" s="30">
        <f>SUM(E8:E29)+SUM(E30:E50)</f>
        <v>3852</v>
      </c>
      <c r="F5" s="30">
        <f>SUM(F8:F29)+SUM(F30:F50)</f>
        <v>23</v>
      </c>
      <c r="G5" s="30">
        <f>SUM(G8:G29)+SUM(G30:G50)</f>
        <v>10</v>
      </c>
      <c r="H5" s="37">
        <f>B5-'12當年退離(教)-性別'!C6-'12當年退離(教)-性別'!G6</f>
        <v>0</v>
      </c>
      <c r="I5" s="37">
        <f>SUM(B6:B7)-B5</f>
        <v>0</v>
      </c>
      <c r="J5" s="37">
        <f t="shared" ref="J5:N5" si="0">SUM(C6:C7)-C5</f>
        <v>0</v>
      </c>
      <c r="K5" s="37">
        <f t="shared" si="0"/>
        <v>0</v>
      </c>
      <c r="L5" s="37">
        <f t="shared" si="0"/>
        <v>0</v>
      </c>
      <c r="M5" s="37">
        <f t="shared" si="0"/>
        <v>0</v>
      </c>
      <c r="N5" s="37">
        <f t="shared" si="0"/>
        <v>0</v>
      </c>
    </row>
    <row r="6" spans="1:15" s="150" customFormat="1" ht="25.5" customHeight="1">
      <c r="A6" s="154" t="s">
        <v>399</v>
      </c>
      <c r="B6" s="30">
        <f t="shared" ref="B6:B50" si="1">SUM(D6:G6)</f>
        <v>1531</v>
      </c>
      <c r="C6" s="30">
        <f t="shared" ref="C6:C50" si="2">SUM(D6:F6)</f>
        <v>1529</v>
      </c>
      <c r="D6" s="30">
        <v>45</v>
      </c>
      <c r="E6" s="30">
        <v>1474</v>
      </c>
      <c r="F6" s="30">
        <v>10</v>
      </c>
      <c r="G6" s="30">
        <v>2</v>
      </c>
      <c r="H6" s="30"/>
      <c r="I6" s="30"/>
      <c r="J6" s="30"/>
      <c r="K6" s="30"/>
      <c r="L6" s="30"/>
      <c r="M6" s="30"/>
      <c r="N6" s="30"/>
      <c r="O6" s="30"/>
    </row>
    <row r="7" spans="1:15" s="150" customFormat="1" ht="25.5" customHeight="1">
      <c r="A7" s="154" t="s">
        <v>401</v>
      </c>
      <c r="B7" s="30">
        <f t="shared" si="1"/>
        <v>2441</v>
      </c>
      <c r="C7" s="30">
        <f t="shared" si="2"/>
        <v>2433</v>
      </c>
      <c r="D7" s="30">
        <v>42</v>
      </c>
      <c r="E7" s="30">
        <v>2378</v>
      </c>
      <c r="F7" s="30">
        <v>13</v>
      </c>
      <c r="G7" s="30">
        <v>8</v>
      </c>
      <c r="H7" s="30"/>
      <c r="I7" s="30"/>
      <c r="J7" s="30"/>
      <c r="K7" s="30"/>
      <c r="L7" s="30"/>
      <c r="M7" s="30"/>
      <c r="N7" s="30"/>
      <c r="O7" s="30"/>
    </row>
    <row r="8" spans="1:15" s="6" customFormat="1" ht="27.75" customHeight="1">
      <c r="A8" s="43" t="s">
        <v>146</v>
      </c>
      <c r="B8" s="30">
        <f t="shared" si="1"/>
        <v>0</v>
      </c>
      <c r="C8" s="30">
        <f t="shared" si="2"/>
        <v>0</v>
      </c>
      <c r="D8" s="30">
        <v>0</v>
      </c>
      <c r="E8" s="30">
        <v>0</v>
      </c>
      <c r="F8" s="30">
        <v>0</v>
      </c>
      <c r="G8" s="30">
        <v>0</v>
      </c>
    </row>
    <row r="9" spans="1:15" s="6" customFormat="1" ht="27.75" customHeight="1">
      <c r="A9" s="43" t="s">
        <v>147</v>
      </c>
      <c r="B9" s="30">
        <f t="shared" si="1"/>
        <v>0</v>
      </c>
      <c r="C9" s="30">
        <f t="shared" si="2"/>
        <v>0</v>
      </c>
      <c r="D9" s="30">
        <v>0</v>
      </c>
      <c r="E9" s="30">
        <v>0</v>
      </c>
      <c r="F9" s="30">
        <v>0</v>
      </c>
      <c r="G9" s="30">
        <v>0</v>
      </c>
    </row>
    <row r="10" spans="1:15" s="6" customFormat="1" ht="27.75" customHeight="1">
      <c r="A10" s="43" t="s">
        <v>109</v>
      </c>
      <c r="B10" s="30">
        <f t="shared" si="1"/>
        <v>0</v>
      </c>
      <c r="C10" s="30">
        <f t="shared" si="2"/>
        <v>0</v>
      </c>
      <c r="D10" s="30">
        <v>0</v>
      </c>
      <c r="E10" s="30">
        <v>0</v>
      </c>
      <c r="F10" s="30">
        <v>0</v>
      </c>
      <c r="G10" s="30">
        <v>0</v>
      </c>
    </row>
    <row r="11" spans="1:15" s="6" customFormat="1" ht="27.75" customHeight="1">
      <c r="A11" s="43" t="s">
        <v>29</v>
      </c>
      <c r="B11" s="30">
        <f t="shared" si="1"/>
        <v>0</v>
      </c>
      <c r="C11" s="30">
        <f t="shared" si="2"/>
        <v>0</v>
      </c>
      <c r="D11" s="30">
        <v>0</v>
      </c>
      <c r="E11" s="30">
        <v>0</v>
      </c>
      <c r="F11" s="30">
        <v>0</v>
      </c>
      <c r="G11" s="30">
        <v>0</v>
      </c>
    </row>
    <row r="12" spans="1:15" s="6" customFormat="1" ht="27.75" customHeight="1">
      <c r="A12" s="43" t="s">
        <v>30</v>
      </c>
      <c r="B12" s="30">
        <f t="shared" si="1"/>
        <v>0</v>
      </c>
      <c r="C12" s="30">
        <f t="shared" si="2"/>
        <v>0</v>
      </c>
      <c r="D12" s="30">
        <v>0</v>
      </c>
      <c r="E12" s="30">
        <v>0</v>
      </c>
      <c r="F12" s="30">
        <v>0</v>
      </c>
      <c r="G12" s="30">
        <v>0</v>
      </c>
    </row>
    <row r="13" spans="1:15" ht="27.75" customHeight="1">
      <c r="A13" s="43" t="s">
        <v>31</v>
      </c>
      <c r="B13" s="30">
        <f t="shared" si="1"/>
        <v>0</v>
      </c>
      <c r="C13" s="30">
        <f t="shared" si="2"/>
        <v>0</v>
      </c>
      <c r="D13" s="30">
        <v>0</v>
      </c>
      <c r="E13" s="30">
        <v>0</v>
      </c>
      <c r="F13" s="30">
        <v>0</v>
      </c>
      <c r="G13" s="30">
        <v>0</v>
      </c>
    </row>
    <row r="14" spans="1:15" ht="27.75" customHeight="1">
      <c r="A14" s="43" t="s">
        <v>32</v>
      </c>
      <c r="B14" s="30">
        <f t="shared" si="1"/>
        <v>0</v>
      </c>
      <c r="C14" s="30">
        <f t="shared" si="2"/>
        <v>0</v>
      </c>
      <c r="D14" s="30">
        <v>0</v>
      </c>
      <c r="E14" s="30">
        <v>0</v>
      </c>
      <c r="F14" s="30">
        <v>0</v>
      </c>
      <c r="G14" s="30">
        <v>0</v>
      </c>
    </row>
    <row r="15" spans="1:15" ht="27.75" customHeight="1">
      <c r="A15" s="43" t="s">
        <v>33</v>
      </c>
      <c r="B15" s="30">
        <f t="shared" si="1"/>
        <v>0</v>
      </c>
      <c r="C15" s="30">
        <f t="shared" si="2"/>
        <v>0</v>
      </c>
      <c r="D15" s="30">
        <v>0</v>
      </c>
      <c r="E15" s="30">
        <v>0</v>
      </c>
      <c r="F15" s="30">
        <v>0</v>
      </c>
      <c r="G15" s="30">
        <v>0</v>
      </c>
    </row>
    <row r="16" spans="1:15" ht="27.75" customHeight="1">
      <c r="A16" s="43" t="s">
        <v>15</v>
      </c>
      <c r="B16" s="30">
        <f t="shared" si="1"/>
        <v>0</v>
      </c>
      <c r="C16" s="30">
        <f t="shared" si="2"/>
        <v>0</v>
      </c>
      <c r="D16" s="30">
        <v>0</v>
      </c>
      <c r="E16" s="30">
        <v>0</v>
      </c>
      <c r="F16" s="30">
        <v>0</v>
      </c>
      <c r="G16" s="30">
        <v>0</v>
      </c>
    </row>
    <row r="17" spans="1:7" ht="27.75" customHeight="1">
      <c r="A17" s="43" t="s">
        <v>16</v>
      </c>
      <c r="B17" s="30">
        <f t="shared" si="1"/>
        <v>0</v>
      </c>
      <c r="C17" s="30">
        <f t="shared" si="2"/>
        <v>0</v>
      </c>
      <c r="D17" s="30">
        <v>0</v>
      </c>
      <c r="E17" s="30">
        <v>0</v>
      </c>
      <c r="F17" s="30">
        <v>0</v>
      </c>
      <c r="G17" s="30">
        <v>0</v>
      </c>
    </row>
    <row r="18" spans="1:7" ht="27.75" customHeight="1">
      <c r="A18" s="43" t="s">
        <v>17</v>
      </c>
      <c r="B18" s="30">
        <f t="shared" si="1"/>
        <v>0</v>
      </c>
      <c r="C18" s="30">
        <f t="shared" si="2"/>
        <v>0</v>
      </c>
      <c r="D18" s="30">
        <v>0</v>
      </c>
      <c r="E18" s="30">
        <v>0</v>
      </c>
      <c r="F18" s="30">
        <v>0</v>
      </c>
      <c r="G18" s="30">
        <v>0</v>
      </c>
    </row>
    <row r="19" spans="1:7" ht="27.75" customHeight="1">
      <c r="A19" s="43" t="s">
        <v>18</v>
      </c>
      <c r="B19" s="30">
        <f t="shared" si="1"/>
        <v>0</v>
      </c>
      <c r="C19" s="30">
        <f t="shared" si="2"/>
        <v>0</v>
      </c>
      <c r="D19" s="30">
        <v>0</v>
      </c>
      <c r="E19" s="30">
        <v>0</v>
      </c>
      <c r="F19" s="30">
        <v>0</v>
      </c>
      <c r="G19" s="30">
        <v>0</v>
      </c>
    </row>
    <row r="20" spans="1:7" ht="27.75" customHeight="1">
      <c r="A20" s="43" t="s">
        <v>19</v>
      </c>
      <c r="B20" s="30">
        <f t="shared" si="1"/>
        <v>0</v>
      </c>
      <c r="C20" s="30">
        <f t="shared" si="2"/>
        <v>0</v>
      </c>
      <c r="D20" s="30">
        <v>0</v>
      </c>
      <c r="E20" s="30">
        <v>0</v>
      </c>
      <c r="F20" s="30">
        <v>0</v>
      </c>
      <c r="G20" s="30">
        <v>0</v>
      </c>
    </row>
    <row r="21" spans="1:7" ht="27.75" customHeight="1">
      <c r="A21" s="43" t="s">
        <v>20</v>
      </c>
      <c r="B21" s="30">
        <f t="shared" si="1"/>
        <v>0</v>
      </c>
      <c r="C21" s="30">
        <f t="shared" si="2"/>
        <v>0</v>
      </c>
      <c r="D21" s="30">
        <v>0</v>
      </c>
      <c r="E21" s="30">
        <v>0</v>
      </c>
      <c r="F21" s="30">
        <v>0</v>
      </c>
      <c r="G21" s="30">
        <v>0</v>
      </c>
    </row>
    <row r="22" spans="1:7" ht="27.75" customHeight="1">
      <c r="A22" s="43" t="s">
        <v>21</v>
      </c>
      <c r="B22" s="30">
        <f t="shared" si="1"/>
        <v>1</v>
      </c>
      <c r="C22" s="30">
        <f t="shared" si="2"/>
        <v>0</v>
      </c>
      <c r="D22" s="30">
        <v>0</v>
      </c>
      <c r="E22" s="30">
        <v>0</v>
      </c>
      <c r="F22" s="30">
        <v>0</v>
      </c>
      <c r="G22" s="30">
        <v>1</v>
      </c>
    </row>
    <row r="23" spans="1:7" ht="27.75" customHeight="1">
      <c r="A23" s="43" t="s">
        <v>22</v>
      </c>
      <c r="B23" s="30">
        <f t="shared" si="1"/>
        <v>0</v>
      </c>
      <c r="C23" s="30">
        <f t="shared" si="2"/>
        <v>0</v>
      </c>
      <c r="D23" s="30">
        <v>0</v>
      </c>
      <c r="E23" s="30">
        <v>0</v>
      </c>
      <c r="F23" s="30">
        <v>0</v>
      </c>
      <c r="G23" s="30">
        <v>0</v>
      </c>
    </row>
    <row r="24" spans="1:7" ht="27.75" customHeight="1">
      <c r="A24" s="43" t="s">
        <v>23</v>
      </c>
      <c r="B24" s="30">
        <f t="shared" si="1"/>
        <v>1</v>
      </c>
      <c r="C24" s="30">
        <f t="shared" si="2"/>
        <v>0</v>
      </c>
      <c r="D24" s="30">
        <v>0</v>
      </c>
      <c r="E24" s="30">
        <v>0</v>
      </c>
      <c r="F24" s="30">
        <v>0</v>
      </c>
      <c r="G24" s="30">
        <v>1</v>
      </c>
    </row>
    <row r="25" spans="1:7" ht="27.75" customHeight="1">
      <c r="A25" s="43" t="s">
        <v>24</v>
      </c>
      <c r="B25" s="30">
        <f t="shared" si="1"/>
        <v>0</v>
      </c>
      <c r="C25" s="30">
        <f t="shared" si="2"/>
        <v>0</v>
      </c>
      <c r="D25" s="30">
        <v>0</v>
      </c>
      <c r="E25" s="30">
        <v>0</v>
      </c>
      <c r="F25" s="30">
        <v>0</v>
      </c>
      <c r="G25" s="30">
        <v>0</v>
      </c>
    </row>
    <row r="26" spans="1:7" ht="27.75" customHeight="1">
      <c r="A26" s="43" t="s">
        <v>25</v>
      </c>
      <c r="B26" s="30">
        <f t="shared" si="1"/>
        <v>4</v>
      </c>
      <c r="C26" s="30">
        <f t="shared" si="2"/>
        <v>2</v>
      </c>
      <c r="D26" s="30">
        <v>1</v>
      </c>
      <c r="E26" s="30">
        <v>1</v>
      </c>
      <c r="F26" s="30">
        <v>0</v>
      </c>
      <c r="G26" s="30">
        <v>2</v>
      </c>
    </row>
    <row r="27" spans="1:7" ht="27.75" customHeight="1">
      <c r="A27" s="43" t="s">
        <v>26</v>
      </c>
      <c r="B27" s="30">
        <f t="shared" si="1"/>
        <v>0</v>
      </c>
      <c r="C27" s="30">
        <f t="shared" si="2"/>
        <v>0</v>
      </c>
      <c r="D27" s="30">
        <v>0</v>
      </c>
      <c r="E27" s="30">
        <v>0</v>
      </c>
      <c r="F27" s="30">
        <v>0</v>
      </c>
      <c r="G27" s="30">
        <v>0</v>
      </c>
    </row>
    <row r="28" spans="1:7" ht="27.75" customHeight="1">
      <c r="A28" s="43" t="s">
        <v>27</v>
      </c>
      <c r="B28" s="30">
        <f t="shared" si="1"/>
        <v>1</v>
      </c>
      <c r="C28" s="30">
        <f t="shared" si="2"/>
        <v>0</v>
      </c>
      <c r="D28" s="30">
        <v>0</v>
      </c>
      <c r="E28" s="30">
        <v>0</v>
      </c>
      <c r="F28" s="30">
        <v>0</v>
      </c>
      <c r="G28" s="30">
        <v>1</v>
      </c>
    </row>
    <row r="29" spans="1:7" ht="27.75" customHeight="1">
      <c r="A29" s="44" t="s">
        <v>34</v>
      </c>
      <c r="B29" s="33">
        <f t="shared" si="1"/>
        <v>2</v>
      </c>
      <c r="C29" s="34">
        <f t="shared" si="2"/>
        <v>2</v>
      </c>
      <c r="D29" s="34">
        <v>1</v>
      </c>
      <c r="E29" s="34">
        <v>1</v>
      </c>
      <c r="F29" s="34">
        <v>0</v>
      </c>
      <c r="G29" s="34">
        <v>0</v>
      </c>
    </row>
    <row r="30" spans="1:7" s="6" customFormat="1" ht="27.75" customHeight="1">
      <c r="A30" s="43" t="s">
        <v>116</v>
      </c>
      <c r="B30" s="30">
        <f t="shared" si="1"/>
        <v>9</v>
      </c>
      <c r="C30" s="30">
        <f t="shared" si="2"/>
        <v>8</v>
      </c>
      <c r="D30" s="30">
        <v>3</v>
      </c>
      <c r="E30" s="30">
        <v>5</v>
      </c>
      <c r="F30" s="30">
        <v>0</v>
      </c>
      <c r="G30" s="30">
        <v>1</v>
      </c>
    </row>
    <row r="31" spans="1:7" s="6" customFormat="1" ht="27.75" customHeight="1">
      <c r="A31" s="43" t="s">
        <v>117</v>
      </c>
      <c r="B31" s="30">
        <f t="shared" si="1"/>
        <v>16</v>
      </c>
      <c r="C31" s="30">
        <f t="shared" si="2"/>
        <v>16</v>
      </c>
      <c r="D31" s="30">
        <v>10</v>
      </c>
      <c r="E31" s="30">
        <v>4</v>
      </c>
      <c r="F31" s="30">
        <v>2</v>
      </c>
      <c r="G31" s="30">
        <v>0</v>
      </c>
    </row>
    <row r="32" spans="1:7" s="6" customFormat="1" ht="27.75" customHeight="1">
      <c r="A32" s="43" t="s">
        <v>118</v>
      </c>
      <c r="B32" s="30">
        <f t="shared" si="1"/>
        <v>22</v>
      </c>
      <c r="C32" s="30">
        <f t="shared" si="2"/>
        <v>22</v>
      </c>
      <c r="D32" s="30">
        <v>11</v>
      </c>
      <c r="E32" s="30">
        <v>11</v>
      </c>
      <c r="F32" s="30">
        <v>0</v>
      </c>
      <c r="G32" s="30">
        <v>0</v>
      </c>
    </row>
    <row r="33" spans="1:7" ht="27.75" customHeight="1">
      <c r="A33" s="43" t="s">
        <v>119</v>
      </c>
      <c r="B33" s="30">
        <f t="shared" si="1"/>
        <v>15</v>
      </c>
      <c r="C33" s="30">
        <f t="shared" si="2"/>
        <v>14</v>
      </c>
      <c r="D33" s="30">
        <v>5</v>
      </c>
      <c r="E33" s="30">
        <v>8</v>
      </c>
      <c r="F33" s="30">
        <v>1</v>
      </c>
      <c r="G33" s="30">
        <v>1</v>
      </c>
    </row>
    <row r="34" spans="1:7" ht="27.75" customHeight="1">
      <c r="A34" s="43" t="s">
        <v>120</v>
      </c>
      <c r="B34" s="30">
        <f t="shared" si="1"/>
        <v>930</v>
      </c>
      <c r="C34" s="30">
        <f t="shared" si="2"/>
        <v>928</v>
      </c>
      <c r="D34" s="30">
        <v>9</v>
      </c>
      <c r="E34" s="30">
        <v>910</v>
      </c>
      <c r="F34" s="30">
        <v>9</v>
      </c>
      <c r="G34" s="30">
        <v>2</v>
      </c>
    </row>
    <row r="35" spans="1:7" ht="27.75" customHeight="1">
      <c r="A35" s="43" t="s">
        <v>121</v>
      </c>
      <c r="B35" s="30">
        <f t="shared" si="1"/>
        <v>425</v>
      </c>
      <c r="C35" s="30">
        <f t="shared" si="2"/>
        <v>425</v>
      </c>
      <c r="D35" s="30">
        <v>3</v>
      </c>
      <c r="E35" s="30">
        <v>420</v>
      </c>
      <c r="F35" s="30">
        <v>2</v>
      </c>
      <c r="G35" s="30">
        <v>0</v>
      </c>
    </row>
    <row r="36" spans="1:7" ht="27.75" customHeight="1">
      <c r="A36" s="43" t="s">
        <v>122</v>
      </c>
      <c r="B36" s="30">
        <f t="shared" si="1"/>
        <v>352</v>
      </c>
      <c r="C36" s="30">
        <f t="shared" si="2"/>
        <v>351</v>
      </c>
      <c r="D36" s="30">
        <v>3</v>
      </c>
      <c r="E36" s="30">
        <v>346</v>
      </c>
      <c r="F36" s="30">
        <v>2</v>
      </c>
      <c r="G36" s="30">
        <v>1</v>
      </c>
    </row>
    <row r="37" spans="1:7" ht="27.75" customHeight="1">
      <c r="A37" s="43" t="s">
        <v>123</v>
      </c>
      <c r="B37" s="30">
        <f t="shared" si="1"/>
        <v>268</v>
      </c>
      <c r="C37" s="30">
        <f t="shared" si="2"/>
        <v>268</v>
      </c>
      <c r="D37" s="30">
        <v>2</v>
      </c>
      <c r="E37" s="30">
        <v>266</v>
      </c>
      <c r="F37" s="30">
        <v>0</v>
      </c>
      <c r="G37" s="30">
        <v>0</v>
      </c>
    </row>
    <row r="38" spans="1:7" ht="27.75" customHeight="1">
      <c r="A38" s="43" t="s">
        <v>124</v>
      </c>
      <c r="B38" s="30">
        <f t="shared" si="1"/>
        <v>280</v>
      </c>
      <c r="C38" s="30">
        <f t="shared" si="2"/>
        <v>280</v>
      </c>
      <c r="D38" s="30">
        <v>1</v>
      </c>
      <c r="E38" s="30">
        <v>279</v>
      </c>
      <c r="F38" s="30">
        <v>0</v>
      </c>
      <c r="G38" s="30">
        <v>0</v>
      </c>
    </row>
    <row r="39" spans="1:7" ht="27.75" customHeight="1">
      <c r="A39" s="43" t="s">
        <v>125</v>
      </c>
      <c r="B39" s="30">
        <f t="shared" si="1"/>
        <v>265</v>
      </c>
      <c r="C39" s="30">
        <f t="shared" si="2"/>
        <v>265</v>
      </c>
      <c r="D39" s="30">
        <v>2</v>
      </c>
      <c r="E39" s="30">
        <v>263</v>
      </c>
      <c r="F39" s="30">
        <v>0</v>
      </c>
      <c r="G39" s="30">
        <v>0</v>
      </c>
    </row>
    <row r="40" spans="1:7" ht="27.75" customHeight="1">
      <c r="A40" s="43" t="s">
        <v>126</v>
      </c>
      <c r="B40" s="30">
        <f t="shared" si="1"/>
        <v>101</v>
      </c>
      <c r="C40" s="30">
        <f t="shared" si="2"/>
        <v>101</v>
      </c>
      <c r="D40" s="30">
        <v>0</v>
      </c>
      <c r="E40" s="30">
        <v>101</v>
      </c>
      <c r="F40" s="30">
        <v>0</v>
      </c>
      <c r="G40" s="30">
        <v>0</v>
      </c>
    </row>
    <row r="41" spans="1:7" ht="27.75" customHeight="1">
      <c r="A41" s="43" t="s">
        <v>127</v>
      </c>
      <c r="B41" s="30">
        <f t="shared" si="1"/>
        <v>83</v>
      </c>
      <c r="C41" s="30">
        <f t="shared" si="2"/>
        <v>83</v>
      </c>
      <c r="D41" s="30">
        <v>2</v>
      </c>
      <c r="E41" s="30">
        <v>81</v>
      </c>
      <c r="F41" s="30">
        <v>0</v>
      </c>
      <c r="G41" s="30">
        <v>0</v>
      </c>
    </row>
    <row r="42" spans="1:7" ht="27.75" customHeight="1">
      <c r="A42" s="43" t="s">
        <v>128</v>
      </c>
      <c r="B42" s="30">
        <f t="shared" si="1"/>
        <v>93</v>
      </c>
      <c r="C42" s="30">
        <f t="shared" si="2"/>
        <v>93</v>
      </c>
      <c r="D42" s="30">
        <v>2</v>
      </c>
      <c r="E42" s="30">
        <v>90</v>
      </c>
      <c r="F42" s="30">
        <v>1</v>
      </c>
      <c r="G42" s="30">
        <v>0</v>
      </c>
    </row>
    <row r="43" spans="1:7" ht="27.75" customHeight="1">
      <c r="A43" s="43" t="s">
        <v>129</v>
      </c>
      <c r="B43" s="30">
        <f t="shared" si="1"/>
        <v>98</v>
      </c>
      <c r="C43" s="30">
        <f t="shared" si="2"/>
        <v>98</v>
      </c>
      <c r="D43" s="30">
        <v>2</v>
      </c>
      <c r="E43" s="30">
        <v>96</v>
      </c>
      <c r="F43" s="30">
        <v>0</v>
      </c>
      <c r="G43" s="30">
        <v>0</v>
      </c>
    </row>
    <row r="44" spans="1:7" ht="27.75" customHeight="1">
      <c r="A44" s="43" t="s">
        <v>130</v>
      </c>
      <c r="B44" s="30">
        <f t="shared" si="1"/>
        <v>177</v>
      </c>
      <c r="C44" s="30">
        <f t="shared" si="2"/>
        <v>177</v>
      </c>
      <c r="D44" s="30">
        <v>6</v>
      </c>
      <c r="E44" s="30">
        <v>171</v>
      </c>
      <c r="F44" s="30">
        <v>0</v>
      </c>
      <c r="G44" s="30">
        <v>0</v>
      </c>
    </row>
    <row r="45" spans="1:7" ht="27.75" customHeight="1">
      <c r="A45" s="43" t="s">
        <v>131</v>
      </c>
      <c r="B45" s="30">
        <f t="shared" si="1"/>
        <v>93</v>
      </c>
      <c r="C45" s="30">
        <f t="shared" si="2"/>
        <v>93</v>
      </c>
      <c r="D45" s="30">
        <v>2</v>
      </c>
      <c r="E45" s="30">
        <v>91</v>
      </c>
      <c r="F45" s="30">
        <v>0</v>
      </c>
      <c r="G45" s="30">
        <v>0</v>
      </c>
    </row>
    <row r="46" spans="1:7" ht="27.75" customHeight="1">
      <c r="A46" s="43" t="s">
        <v>132</v>
      </c>
      <c r="B46" s="30">
        <f t="shared" si="1"/>
        <v>76</v>
      </c>
      <c r="C46" s="30">
        <f t="shared" si="2"/>
        <v>76</v>
      </c>
      <c r="D46" s="30">
        <v>1</v>
      </c>
      <c r="E46" s="30">
        <v>75</v>
      </c>
      <c r="F46" s="30">
        <v>0</v>
      </c>
      <c r="G46" s="30">
        <v>0</v>
      </c>
    </row>
    <row r="47" spans="1:7" ht="27.75" customHeight="1">
      <c r="A47" s="43" t="s">
        <v>133</v>
      </c>
      <c r="B47" s="30">
        <f t="shared" si="1"/>
        <v>68</v>
      </c>
      <c r="C47" s="30">
        <f t="shared" si="2"/>
        <v>68</v>
      </c>
      <c r="D47" s="30">
        <v>0</v>
      </c>
      <c r="E47" s="30">
        <v>68</v>
      </c>
      <c r="F47" s="30">
        <v>0</v>
      </c>
      <c r="G47" s="30">
        <v>0</v>
      </c>
    </row>
    <row r="48" spans="1:7" ht="27.75" customHeight="1">
      <c r="A48" s="43" t="s">
        <v>134</v>
      </c>
      <c r="B48" s="30">
        <f t="shared" si="1"/>
        <v>114</v>
      </c>
      <c r="C48" s="30">
        <f t="shared" si="2"/>
        <v>114</v>
      </c>
      <c r="D48" s="30">
        <v>4</v>
      </c>
      <c r="E48" s="30">
        <v>110</v>
      </c>
      <c r="F48" s="30">
        <v>0</v>
      </c>
      <c r="G48" s="30">
        <v>0</v>
      </c>
    </row>
    <row r="49" spans="1:7" ht="27.75" customHeight="1">
      <c r="A49" s="43" t="s">
        <v>135</v>
      </c>
      <c r="B49" s="30">
        <f t="shared" si="1"/>
        <v>419</v>
      </c>
      <c r="C49" s="30">
        <f t="shared" si="2"/>
        <v>419</v>
      </c>
      <c r="D49" s="30">
        <v>10</v>
      </c>
      <c r="E49" s="30">
        <v>404</v>
      </c>
      <c r="F49" s="30">
        <v>5</v>
      </c>
      <c r="G49" s="30">
        <v>0</v>
      </c>
    </row>
    <row r="50" spans="1:7" ht="27.75" customHeight="1">
      <c r="A50" s="44" t="s">
        <v>136</v>
      </c>
      <c r="B50" s="30">
        <f t="shared" si="1"/>
        <v>59</v>
      </c>
      <c r="C50" s="30">
        <f t="shared" si="2"/>
        <v>59</v>
      </c>
      <c r="D50" s="30">
        <v>7</v>
      </c>
      <c r="E50" s="30">
        <v>51</v>
      </c>
      <c r="F50" s="30">
        <v>1</v>
      </c>
      <c r="G50" s="30">
        <v>0</v>
      </c>
    </row>
    <row r="51" spans="1:7" ht="27.75" customHeight="1">
      <c r="A51" s="98" t="s">
        <v>137</v>
      </c>
      <c r="B51" s="77">
        <v>55.17</v>
      </c>
      <c r="C51" s="78">
        <v>55.2</v>
      </c>
      <c r="D51" s="78">
        <v>54.87</v>
      </c>
      <c r="E51" s="78">
        <v>55.21</v>
      </c>
      <c r="F51" s="78">
        <v>54.43</v>
      </c>
      <c r="G51" s="78">
        <v>45.3</v>
      </c>
    </row>
    <row r="52" spans="1:7" s="6" customFormat="1" ht="20.100000000000001" customHeight="1">
      <c r="A52" s="106" t="s">
        <v>150</v>
      </c>
      <c r="B52" s="106"/>
      <c r="C52" s="106"/>
      <c r="D52" s="106"/>
      <c r="E52" s="106"/>
      <c r="F52" s="106"/>
      <c r="G52" s="106"/>
    </row>
    <row r="53" spans="1:7" ht="20.100000000000001" customHeight="1">
      <c r="A53" s="703" t="s">
        <v>1027</v>
      </c>
      <c r="B53" s="175">
        <f>B5-'[3]16退休(教)-性別'!B5</f>
        <v>0</v>
      </c>
      <c r="C53" s="175">
        <f>C5-'[3]16退休(教)-性別'!C5</f>
        <v>0</v>
      </c>
      <c r="D53" s="175">
        <f>D5-'[3]16退休(教)-性別'!D5</f>
        <v>0</v>
      </c>
      <c r="E53" s="175">
        <f>E5-'[3]16退休(教)-性別'!E5</f>
        <v>0</v>
      </c>
      <c r="F53" s="175">
        <f>F5-'[3]16退休(教)-性別'!F5</f>
        <v>0</v>
      </c>
      <c r="G53" s="175">
        <f>G5-'[3]16退休(教)-性別'!G5</f>
        <v>0</v>
      </c>
    </row>
    <row r="54" spans="1:7" ht="32.25" customHeight="1">
      <c r="B54" s="175">
        <f>B6-'[3]16退休(教)-性別'!B6</f>
        <v>0</v>
      </c>
      <c r="C54" s="175">
        <f>C6-'[3]16退休(教)-性別'!C6</f>
        <v>0</v>
      </c>
      <c r="D54" s="175">
        <f>D6-'[3]16退休(教)-性別'!D6</f>
        <v>0</v>
      </c>
      <c r="E54" s="175">
        <f>E6-'[3]16退休(教)-性別'!E6</f>
        <v>0</v>
      </c>
      <c r="F54" s="175">
        <f>F6-'[3]16退休(教)-性別'!F6</f>
        <v>0</v>
      </c>
      <c r="G54" s="175">
        <f>G6-'[3]16退休(教)-性別'!G6</f>
        <v>0</v>
      </c>
    </row>
    <row r="55" spans="1:7" ht="32.25" customHeight="1">
      <c r="B55" s="175">
        <f>B7-'[3]16退休(教)-性別'!B7</f>
        <v>0</v>
      </c>
      <c r="C55" s="175">
        <f>C7-'[3]16退休(教)-性別'!C7</f>
        <v>0</v>
      </c>
      <c r="D55" s="175">
        <f>D7-'[3]16退休(教)-性別'!D7</f>
        <v>0</v>
      </c>
      <c r="E55" s="175">
        <f>E7-'[3]16退休(教)-性別'!E7</f>
        <v>0</v>
      </c>
      <c r="F55" s="175">
        <f>F7-'[3]16退休(教)-性別'!F7</f>
        <v>0</v>
      </c>
      <c r="G55" s="175">
        <f>G7-'[3]16退休(教)-性別'!G7</f>
        <v>0</v>
      </c>
    </row>
    <row r="56" spans="1:7" ht="32.25" customHeight="1">
      <c r="B56" s="175">
        <f>B8-'[3]16退休(教)-性別'!B8</f>
        <v>0</v>
      </c>
      <c r="C56" s="175">
        <f>C8-'[3]16退休(教)-性別'!C8</f>
        <v>0</v>
      </c>
      <c r="D56" s="175">
        <f>D8-'[3]16退休(教)-性別'!D8</f>
        <v>0</v>
      </c>
      <c r="E56" s="175">
        <f>E8-'[3]16退休(教)-性別'!E8</f>
        <v>0</v>
      </c>
      <c r="F56" s="175">
        <f>F8-'[3]16退休(教)-性別'!F8</f>
        <v>0</v>
      </c>
      <c r="G56" s="175">
        <f>G8-'[3]16退休(教)-性別'!G8</f>
        <v>0</v>
      </c>
    </row>
    <row r="57" spans="1:7" ht="32.25" customHeight="1">
      <c r="B57" s="175">
        <f>B9-'[3]16退休(教)-性別'!B9</f>
        <v>0</v>
      </c>
      <c r="C57" s="175">
        <f>C9-'[3]16退休(教)-性別'!C9</f>
        <v>0</v>
      </c>
      <c r="D57" s="175">
        <f>D9-'[3]16退休(教)-性別'!D9</f>
        <v>0</v>
      </c>
      <c r="E57" s="175">
        <f>E9-'[3]16退休(教)-性別'!E9</f>
        <v>0</v>
      </c>
      <c r="F57" s="175">
        <f>F9-'[3]16退休(教)-性別'!F9</f>
        <v>0</v>
      </c>
      <c r="G57" s="175">
        <f>G9-'[3]16退休(教)-性別'!G9</f>
        <v>0</v>
      </c>
    </row>
    <row r="58" spans="1:7" ht="32.25" customHeight="1">
      <c r="B58" s="175">
        <f>B10-'[3]16退休(教)-性別'!B10</f>
        <v>0</v>
      </c>
      <c r="C58" s="175">
        <f>C10-'[3]16退休(教)-性別'!C10</f>
        <v>0</v>
      </c>
      <c r="D58" s="175">
        <f>D10-'[3]16退休(教)-性別'!D10</f>
        <v>0</v>
      </c>
      <c r="E58" s="175">
        <f>E10-'[3]16退休(教)-性別'!E10</f>
        <v>0</v>
      </c>
      <c r="F58" s="175">
        <f>F10-'[3]16退休(教)-性別'!F10</f>
        <v>0</v>
      </c>
      <c r="G58" s="175">
        <f>G10-'[3]16退休(教)-性別'!G10</f>
        <v>0</v>
      </c>
    </row>
    <row r="59" spans="1:7" ht="32.25" customHeight="1">
      <c r="B59" s="175">
        <f>B11-'[3]16退休(教)-性別'!B11</f>
        <v>0</v>
      </c>
      <c r="C59" s="175">
        <f>C11-'[3]16退休(教)-性別'!C11</f>
        <v>0</v>
      </c>
      <c r="D59" s="175">
        <f>D11-'[3]16退休(教)-性別'!D11</f>
        <v>0</v>
      </c>
      <c r="E59" s="175">
        <f>E11-'[3]16退休(教)-性別'!E11</f>
        <v>0</v>
      </c>
      <c r="F59" s="175">
        <f>F11-'[3]16退休(教)-性別'!F11</f>
        <v>0</v>
      </c>
      <c r="G59" s="175">
        <f>G11-'[3]16退休(教)-性別'!G11</f>
        <v>0</v>
      </c>
    </row>
    <row r="60" spans="1:7" ht="32.25" customHeight="1">
      <c r="B60" s="175">
        <f>B12-'[3]16退休(教)-性別'!B12</f>
        <v>0</v>
      </c>
      <c r="C60" s="175">
        <f>C12-'[3]16退休(教)-性別'!C12</f>
        <v>0</v>
      </c>
      <c r="D60" s="175">
        <f>D12-'[3]16退休(教)-性別'!D12</f>
        <v>0</v>
      </c>
      <c r="E60" s="175">
        <f>E12-'[3]16退休(教)-性別'!E12</f>
        <v>0</v>
      </c>
      <c r="F60" s="175">
        <f>F12-'[3]16退休(教)-性別'!F12</f>
        <v>0</v>
      </c>
      <c r="G60" s="175">
        <f>G12-'[3]16退休(教)-性別'!G12</f>
        <v>0</v>
      </c>
    </row>
    <row r="61" spans="1:7" ht="32.25" customHeight="1">
      <c r="B61" s="175">
        <f>B13-'[3]16退休(教)-性別'!B13</f>
        <v>0</v>
      </c>
      <c r="C61" s="175">
        <f>C13-'[3]16退休(教)-性別'!C13</f>
        <v>0</v>
      </c>
      <c r="D61" s="175">
        <f>D13-'[3]16退休(教)-性別'!D13</f>
        <v>0</v>
      </c>
      <c r="E61" s="175">
        <f>E13-'[3]16退休(教)-性別'!E13</f>
        <v>0</v>
      </c>
      <c r="F61" s="175">
        <f>F13-'[3]16退休(教)-性別'!F13</f>
        <v>0</v>
      </c>
      <c r="G61" s="175">
        <f>G13-'[3]16退休(教)-性別'!G13</f>
        <v>0</v>
      </c>
    </row>
    <row r="62" spans="1:7" ht="32.25" customHeight="1">
      <c r="B62" s="175">
        <f>B14-'[3]16退休(教)-性別'!B14</f>
        <v>0</v>
      </c>
      <c r="C62" s="175">
        <f>C14-'[3]16退休(教)-性別'!C14</f>
        <v>0</v>
      </c>
      <c r="D62" s="175">
        <f>D14-'[3]16退休(教)-性別'!D14</f>
        <v>0</v>
      </c>
      <c r="E62" s="175">
        <f>E14-'[3]16退休(教)-性別'!E14</f>
        <v>0</v>
      </c>
      <c r="F62" s="175">
        <f>F14-'[3]16退休(教)-性別'!F14</f>
        <v>0</v>
      </c>
      <c r="G62" s="175">
        <f>G14-'[3]16退休(教)-性別'!G14</f>
        <v>0</v>
      </c>
    </row>
    <row r="63" spans="1:7" ht="32.25" customHeight="1">
      <c r="B63" s="175">
        <f>B15-'[3]16退休(教)-性別'!B15</f>
        <v>0</v>
      </c>
      <c r="C63" s="175">
        <f>C15-'[3]16退休(教)-性別'!C15</f>
        <v>0</v>
      </c>
      <c r="D63" s="175">
        <f>D15-'[3]16退休(教)-性別'!D15</f>
        <v>0</v>
      </c>
      <c r="E63" s="175">
        <f>E15-'[3]16退休(教)-性別'!E15</f>
        <v>0</v>
      </c>
      <c r="F63" s="175">
        <f>F15-'[3]16退休(教)-性別'!F15</f>
        <v>0</v>
      </c>
      <c r="G63" s="175">
        <f>G15-'[3]16退休(教)-性別'!G15</f>
        <v>0</v>
      </c>
    </row>
    <row r="64" spans="1:7" ht="32.25" customHeight="1">
      <c r="B64" s="175">
        <f>B16-'[3]16退休(教)-性別'!B16</f>
        <v>0</v>
      </c>
      <c r="C64" s="175">
        <f>C16-'[3]16退休(教)-性別'!C16</f>
        <v>0</v>
      </c>
      <c r="D64" s="175">
        <f>D16-'[3]16退休(教)-性別'!D16</f>
        <v>0</v>
      </c>
      <c r="E64" s="175">
        <f>E16-'[3]16退休(教)-性別'!E16</f>
        <v>0</v>
      </c>
      <c r="F64" s="175">
        <f>F16-'[3]16退休(教)-性別'!F16</f>
        <v>0</v>
      </c>
      <c r="G64" s="175">
        <f>G16-'[3]16退休(教)-性別'!G16</f>
        <v>0</v>
      </c>
    </row>
    <row r="65" spans="2:7" ht="32.25" customHeight="1">
      <c r="B65" s="175">
        <f>B17-'[3]16退休(教)-性別'!B17</f>
        <v>0</v>
      </c>
      <c r="C65" s="175">
        <f>C17-'[3]16退休(教)-性別'!C17</f>
        <v>0</v>
      </c>
      <c r="D65" s="175">
        <f>D17-'[3]16退休(教)-性別'!D17</f>
        <v>0</v>
      </c>
      <c r="E65" s="175">
        <f>E17-'[3]16退休(教)-性別'!E17</f>
        <v>0</v>
      </c>
      <c r="F65" s="175">
        <f>F17-'[3]16退休(教)-性別'!F17</f>
        <v>0</v>
      </c>
      <c r="G65" s="175">
        <f>G17-'[3]16退休(教)-性別'!G17</f>
        <v>0</v>
      </c>
    </row>
    <row r="66" spans="2:7" ht="32.25" customHeight="1">
      <c r="B66" s="175">
        <f>B18-'[3]16退休(教)-性別'!B18</f>
        <v>0</v>
      </c>
      <c r="C66" s="175">
        <f>C18-'[3]16退休(教)-性別'!C18</f>
        <v>0</v>
      </c>
      <c r="D66" s="175">
        <f>D18-'[3]16退休(教)-性別'!D18</f>
        <v>0</v>
      </c>
      <c r="E66" s="175">
        <f>E18-'[3]16退休(教)-性別'!E18</f>
        <v>0</v>
      </c>
      <c r="F66" s="175">
        <f>F18-'[3]16退休(教)-性別'!F18</f>
        <v>0</v>
      </c>
      <c r="G66" s="175">
        <f>G18-'[3]16退休(教)-性別'!G18</f>
        <v>0</v>
      </c>
    </row>
    <row r="67" spans="2:7" ht="32.25" customHeight="1">
      <c r="B67" s="175">
        <f>B19-'[3]16退休(教)-性別'!B19</f>
        <v>0</v>
      </c>
      <c r="C67" s="175">
        <f>C19-'[3]16退休(教)-性別'!C19</f>
        <v>0</v>
      </c>
      <c r="D67" s="175">
        <f>D19-'[3]16退休(教)-性別'!D19</f>
        <v>0</v>
      </c>
      <c r="E67" s="175">
        <f>E19-'[3]16退休(教)-性別'!E19</f>
        <v>0</v>
      </c>
      <c r="F67" s="175">
        <f>F19-'[3]16退休(教)-性別'!F19</f>
        <v>0</v>
      </c>
      <c r="G67" s="175">
        <f>G19-'[3]16退休(教)-性別'!G19</f>
        <v>0</v>
      </c>
    </row>
    <row r="68" spans="2:7" ht="32.25" customHeight="1">
      <c r="B68" s="175">
        <f>B20-'[3]16退休(教)-性別'!B20</f>
        <v>0</v>
      </c>
      <c r="C68" s="175">
        <f>C20-'[3]16退休(教)-性別'!C20</f>
        <v>0</v>
      </c>
      <c r="D68" s="175">
        <f>D20-'[3]16退休(教)-性別'!D20</f>
        <v>0</v>
      </c>
      <c r="E68" s="175">
        <f>E20-'[3]16退休(教)-性別'!E20</f>
        <v>0</v>
      </c>
      <c r="F68" s="175">
        <f>F20-'[3]16退休(教)-性別'!F20</f>
        <v>0</v>
      </c>
      <c r="G68" s="175">
        <f>G20-'[3]16退休(教)-性別'!G20</f>
        <v>0</v>
      </c>
    </row>
    <row r="69" spans="2:7" ht="32.25" customHeight="1">
      <c r="B69" s="175">
        <f>B21-'[3]16退休(教)-性別'!B21</f>
        <v>0</v>
      </c>
      <c r="C69" s="175">
        <f>C21-'[3]16退休(教)-性別'!C21</f>
        <v>0</v>
      </c>
      <c r="D69" s="175">
        <f>D21-'[3]16退休(教)-性別'!D21</f>
        <v>0</v>
      </c>
      <c r="E69" s="175">
        <f>E21-'[3]16退休(教)-性別'!E21</f>
        <v>0</v>
      </c>
      <c r="F69" s="175">
        <f>F21-'[3]16退休(教)-性別'!F21</f>
        <v>0</v>
      </c>
      <c r="G69" s="175">
        <f>G21-'[3]16退休(教)-性別'!G21</f>
        <v>0</v>
      </c>
    </row>
    <row r="70" spans="2:7" ht="32.25" customHeight="1">
      <c r="B70" s="175">
        <f>B22-'[3]16退休(教)-性別'!B22</f>
        <v>0</v>
      </c>
      <c r="C70" s="175">
        <f>C22-'[3]16退休(教)-性別'!C22</f>
        <v>0</v>
      </c>
      <c r="D70" s="175">
        <f>D22-'[3]16退休(教)-性別'!D22</f>
        <v>0</v>
      </c>
      <c r="E70" s="175">
        <f>E22-'[3]16退休(教)-性別'!E22</f>
        <v>0</v>
      </c>
      <c r="F70" s="175">
        <f>F22-'[3]16退休(教)-性別'!F22</f>
        <v>0</v>
      </c>
      <c r="G70" s="175">
        <f>G22-'[3]16退休(教)-性別'!G22</f>
        <v>0</v>
      </c>
    </row>
    <row r="71" spans="2:7" ht="32.25" customHeight="1">
      <c r="B71" s="175">
        <f>B23-'[3]16退休(教)-性別'!B23</f>
        <v>0</v>
      </c>
      <c r="C71" s="175">
        <f>C23-'[3]16退休(教)-性別'!C23</f>
        <v>0</v>
      </c>
      <c r="D71" s="175">
        <f>D23-'[3]16退休(教)-性別'!D23</f>
        <v>0</v>
      </c>
      <c r="E71" s="175">
        <f>E23-'[3]16退休(教)-性別'!E23</f>
        <v>0</v>
      </c>
      <c r="F71" s="175">
        <f>F23-'[3]16退休(教)-性別'!F23</f>
        <v>0</v>
      </c>
      <c r="G71" s="175">
        <f>G23-'[3]16退休(教)-性別'!G23</f>
        <v>0</v>
      </c>
    </row>
    <row r="72" spans="2:7" ht="32.25" customHeight="1">
      <c r="B72" s="175">
        <f>B24-'[3]16退休(教)-性別'!B24</f>
        <v>0</v>
      </c>
      <c r="C72" s="175">
        <f>C24-'[3]16退休(教)-性別'!C24</f>
        <v>0</v>
      </c>
      <c r="D72" s="175">
        <f>D24-'[3]16退休(教)-性別'!D24</f>
        <v>0</v>
      </c>
      <c r="E72" s="175">
        <f>E24-'[3]16退休(教)-性別'!E24</f>
        <v>0</v>
      </c>
      <c r="F72" s="175">
        <f>F24-'[3]16退休(教)-性別'!F24</f>
        <v>0</v>
      </c>
      <c r="G72" s="175">
        <f>G24-'[3]16退休(教)-性別'!G24</f>
        <v>0</v>
      </c>
    </row>
    <row r="73" spans="2:7" ht="32.25" customHeight="1">
      <c r="B73" s="175">
        <f>B25-'[3]16退休(教)-性別'!B25</f>
        <v>0</v>
      </c>
      <c r="C73" s="175">
        <f>C25-'[3]16退休(教)-性別'!C25</f>
        <v>0</v>
      </c>
      <c r="D73" s="175">
        <f>D25-'[3]16退休(教)-性別'!D25</f>
        <v>0</v>
      </c>
      <c r="E73" s="175">
        <f>E25-'[3]16退休(教)-性別'!E25</f>
        <v>0</v>
      </c>
      <c r="F73" s="175">
        <f>F25-'[3]16退休(教)-性別'!F25</f>
        <v>0</v>
      </c>
      <c r="G73" s="175">
        <f>G25-'[3]16退休(教)-性別'!G25</f>
        <v>0</v>
      </c>
    </row>
    <row r="74" spans="2:7" ht="32.25" customHeight="1">
      <c r="B74" s="175">
        <f>B26-'[3]16退休(教)-性別'!B26</f>
        <v>0</v>
      </c>
      <c r="C74" s="175">
        <f>C26-'[3]16退休(教)-性別'!C26</f>
        <v>0</v>
      </c>
      <c r="D74" s="175">
        <f>D26-'[3]16退休(教)-性別'!D26</f>
        <v>0</v>
      </c>
      <c r="E74" s="175">
        <f>E26-'[3]16退休(教)-性別'!E26</f>
        <v>0</v>
      </c>
      <c r="F74" s="175">
        <f>F26-'[3]16退休(教)-性別'!F26</f>
        <v>0</v>
      </c>
      <c r="G74" s="175">
        <f>G26-'[3]16退休(教)-性別'!G26</f>
        <v>0</v>
      </c>
    </row>
    <row r="75" spans="2:7" ht="32.25" customHeight="1">
      <c r="B75" s="175">
        <f>B27-'[3]16退休(教)-性別'!B27</f>
        <v>0</v>
      </c>
      <c r="C75" s="175">
        <f>C27-'[3]16退休(教)-性別'!C27</f>
        <v>0</v>
      </c>
      <c r="D75" s="175">
        <f>D27-'[3]16退休(教)-性別'!D27</f>
        <v>0</v>
      </c>
      <c r="E75" s="175">
        <f>E27-'[3]16退休(教)-性別'!E27</f>
        <v>0</v>
      </c>
      <c r="F75" s="175">
        <f>F27-'[3]16退休(教)-性別'!F27</f>
        <v>0</v>
      </c>
      <c r="G75" s="175">
        <f>G27-'[3]16退休(教)-性別'!G27</f>
        <v>0</v>
      </c>
    </row>
    <row r="76" spans="2:7" ht="32.25" customHeight="1">
      <c r="B76" s="175">
        <f>B28-'[3]16退休(教)-性別'!B28</f>
        <v>0</v>
      </c>
      <c r="C76" s="175">
        <f>C28-'[3]16退休(教)-性別'!C28</f>
        <v>0</v>
      </c>
      <c r="D76" s="175">
        <f>D28-'[3]16退休(教)-性別'!D28</f>
        <v>0</v>
      </c>
      <c r="E76" s="175">
        <f>E28-'[3]16退休(教)-性別'!E28</f>
        <v>0</v>
      </c>
      <c r="F76" s="175">
        <f>F28-'[3]16退休(教)-性別'!F28</f>
        <v>0</v>
      </c>
      <c r="G76" s="175">
        <f>G28-'[3]16退休(教)-性別'!G28</f>
        <v>0</v>
      </c>
    </row>
    <row r="77" spans="2:7" ht="32.25" customHeight="1">
      <c r="B77" s="175">
        <f>B29-'[3]16退休(教)-性別'!B29</f>
        <v>0</v>
      </c>
      <c r="C77" s="175">
        <f>C29-'[3]16退休(教)-性別'!C29</f>
        <v>0</v>
      </c>
      <c r="D77" s="175">
        <f>D29-'[3]16退休(教)-性別'!D29</f>
        <v>0</v>
      </c>
      <c r="E77" s="175">
        <f>E29-'[3]16退休(教)-性別'!E29</f>
        <v>0</v>
      </c>
      <c r="F77" s="175">
        <f>F29-'[3]16退休(教)-性別'!F29</f>
        <v>0</v>
      </c>
      <c r="G77" s="175">
        <f>G29-'[3]16退休(教)-性別'!G29</f>
        <v>0</v>
      </c>
    </row>
    <row r="78" spans="2:7" ht="32.25" customHeight="1">
      <c r="B78" s="175">
        <f>B30-'[3]16退休(教)-性別'!B30</f>
        <v>0</v>
      </c>
      <c r="C78" s="175">
        <f>C30-'[3]16退休(教)-性別'!C30</f>
        <v>0</v>
      </c>
      <c r="D78" s="175">
        <f>D30-'[3]16退休(教)-性別'!D30</f>
        <v>0</v>
      </c>
      <c r="E78" s="175">
        <f>E30-'[3]16退休(教)-性別'!E30</f>
        <v>0</v>
      </c>
      <c r="F78" s="175">
        <f>F30-'[3]16退休(教)-性別'!F30</f>
        <v>0</v>
      </c>
      <c r="G78" s="175">
        <f>G30-'[3]16退休(教)-性別'!G30</f>
        <v>0</v>
      </c>
    </row>
    <row r="79" spans="2:7" ht="32.25" customHeight="1">
      <c r="B79" s="175">
        <f>B31-'[3]16退休(教)-性別'!B31</f>
        <v>0</v>
      </c>
      <c r="C79" s="175">
        <f>C31-'[3]16退休(教)-性別'!C31</f>
        <v>0</v>
      </c>
      <c r="D79" s="175">
        <f>D31-'[3]16退休(教)-性別'!D31</f>
        <v>0</v>
      </c>
      <c r="E79" s="175">
        <f>E31-'[3]16退休(教)-性別'!E31</f>
        <v>0</v>
      </c>
      <c r="F79" s="175">
        <f>F31-'[3]16退休(教)-性別'!F31</f>
        <v>0</v>
      </c>
      <c r="G79" s="175">
        <f>G31-'[3]16退休(教)-性別'!G31</f>
        <v>0</v>
      </c>
    </row>
    <row r="80" spans="2:7" ht="32.25" customHeight="1">
      <c r="B80" s="175">
        <f>B32-'[3]16退休(教)-性別'!B32</f>
        <v>0</v>
      </c>
      <c r="C80" s="175">
        <f>C32-'[3]16退休(教)-性別'!C32</f>
        <v>0</v>
      </c>
      <c r="D80" s="175">
        <f>D32-'[3]16退休(教)-性別'!D32</f>
        <v>0</v>
      </c>
      <c r="E80" s="175">
        <f>E32-'[3]16退休(教)-性別'!E32</f>
        <v>0</v>
      </c>
      <c r="F80" s="175">
        <f>F32-'[3]16退休(教)-性別'!F32</f>
        <v>0</v>
      </c>
      <c r="G80" s="175">
        <f>G32-'[3]16退休(教)-性別'!G32</f>
        <v>0</v>
      </c>
    </row>
    <row r="81" spans="2:7" ht="32.25" customHeight="1">
      <c r="B81" s="175">
        <f>B33-'[3]16退休(教)-性別'!B33</f>
        <v>0</v>
      </c>
      <c r="C81" s="175">
        <f>C33-'[3]16退休(教)-性別'!C33</f>
        <v>0</v>
      </c>
      <c r="D81" s="175">
        <f>D33-'[3]16退休(教)-性別'!D33</f>
        <v>0</v>
      </c>
      <c r="E81" s="175">
        <f>E33-'[3]16退休(教)-性別'!E33</f>
        <v>0</v>
      </c>
      <c r="F81" s="175">
        <f>F33-'[3]16退休(教)-性別'!F33</f>
        <v>0</v>
      </c>
      <c r="G81" s="175">
        <f>G33-'[3]16退休(教)-性別'!G33</f>
        <v>0</v>
      </c>
    </row>
    <row r="82" spans="2:7" ht="32.25" customHeight="1">
      <c r="B82" s="175">
        <f>B34-'[3]16退休(教)-性別'!B34</f>
        <v>0</v>
      </c>
      <c r="C82" s="175">
        <f>C34-'[3]16退休(教)-性別'!C34</f>
        <v>0</v>
      </c>
      <c r="D82" s="175">
        <f>D34-'[3]16退休(教)-性別'!D34</f>
        <v>0</v>
      </c>
      <c r="E82" s="175">
        <f>E34-'[3]16退休(教)-性別'!E34</f>
        <v>0</v>
      </c>
      <c r="F82" s="175">
        <f>F34-'[3]16退休(教)-性別'!F34</f>
        <v>0</v>
      </c>
      <c r="G82" s="175">
        <f>G34-'[3]16退休(教)-性別'!G34</f>
        <v>0</v>
      </c>
    </row>
    <row r="83" spans="2:7" ht="32.25" customHeight="1">
      <c r="B83" s="175">
        <f>B35-'[3]16退休(教)-性別'!B35</f>
        <v>0</v>
      </c>
      <c r="C83" s="175">
        <f>C35-'[3]16退休(教)-性別'!C35</f>
        <v>0</v>
      </c>
      <c r="D83" s="175">
        <f>D35-'[3]16退休(教)-性別'!D35</f>
        <v>0</v>
      </c>
      <c r="E83" s="175">
        <f>E35-'[3]16退休(教)-性別'!E35</f>
        <v>0</v>
      </c>
      <c r="F83" s="175">
        <f>F35-'[3]16退休(教)-性別'!F35</f>
        <v>0</v>
      </c>
      <c r="G83" s="175">
        <f>G35-'[3]16退休(教)-性別'!G35</f>
        <v>0</v>
      </c>
    </row>
    <row r="84" spans="2:7" ht="32.25" customHeight="1">
      <c r="B84" s="175">
        <f>B36-'[3]16退休(教)-性別'!B36</f>
        <v>0</v>
      </c>
      <c r="C84" s="175">
        <f>C36-'[3]16退休(教)-性別'!C36</f>
        <v>0</v>
      </c>
      <c r="D84" s="175">
        <f>D36-'[3]16退休(教)-性別'!D36</f>
        <v>0</v>
      </c>
      <c r="E84" s="175">
        <f>E36-'[3]16退休(教)-性別'!E36</f>
        <v>0</v>
      </c>
      <c r="F84" s="175">
        <f>F36-'[3]16退休(教)-性別'!F36</f>
        <v>0</v>
      </c>
      <c r="G84" s="175">
        <f>G36-'[3]16退休(教)-性別'!G36</f>
        <v>0</v>
      </c>
    </row>
    <row r="85" spans="2:7" ht="32.25" customHeight="1">
      <c r="B85" s="175">
        <f>B37-'[3]16退休(教)-性別'!B37</f>
        <v>0</v>
      </c>
      <c r="C85" s="175">
        <f>C37-'[3]16退休(教)-性別'!C37</f>
        <v>0</v>
      </c>
      <c r="D85" s="175">
        <f>D37-'[3]16退休(教)-性別'!D37</f>
        <v>0</v>
      </c>
      <c r="E85" s="175">
        <f>E37-'[3]16退休(教)-性別'!E37</f>
        <v>0</v>
      </c>
      <c r="F85" s="175">
        <f>F37-'[3]16退休(教)-性別'!F37</f>
        <v>0</v>
      </c>
      <c r="G85" s="175">
        <f>G37-'[3]16退休(教)-性別'!G37</f>
        <v>0</v>
      </c>
    </row>
    <row r="86" spans="2:7" ht="32.25" customHeight="1">
      <c r="B86" s="175">
        <f>B38-'[3]16退休(教)-性別'!B38</f>
        <v>0</v>
      </c>
      <c r="C86" s="175">
        <f>C38-'[3]16退休(教)-性別'!C38</f>
        <v>0</v>
      </c>
      <c r="D86" s="175">
        <f>D38-'[3]16退休(教)-性別'!D38</f>
        <v>0</v>
      </c>
      <c r="E86" s="175">
        <f>E38-'[3]16退休(教)-性別'!E38</f>
        <v>0</v>
      </c>
      <c r="F86" s="175">
        <f>F38-'[3]16退休(教)-性別'!F38</f>
        <v>0</v>
      </c>
      <c r="G86" s="175">
        <f>G38-'[3]16退休(教)-性別'!G38</f>
        <v>0</v>
      </c>
    </row>
    <row r="87" spans="2:7" ht="32.25" customHeight="1">
      <c r="B87" s="175">
        <f>B39-'[3]16退休(教)-性別'!B39</f>
        <v>0</v>
      </c>
      <c r="C87" s="175">
        <f>C39-'[3]16退休(教)-性別'!C39</f>
        <v>0</v>
      </c>
      <c r="D87" s="175">
        <f>D39-'[3]16退休(教)-性別'!D39</f>
        <v>0</v>
      </c>
      <c r="E87" s="175">
        <f>E39-'[3]16退休(教)-性別'!E39</f>
        <v>0</v>
      </c>
      <c r="F87" s="175">
        <f>F39-'[3]16退休(教)-性別'!F39</f>
        <v>0</v>
      </c>
      <c r="G87" s="175">
        <f>G39-'[3]16退休(教)-性別'!G39</f>
        <v>0</v>
      </c>
    </row>
    <row r="88" spans="2:7" ht="32.25" customHeight="1">
      <c r="B88" s="175">
        <f>B40-'[3]16退休(教)-性別'!B40</f>
        <v>0</v>
      </c>
      <c r="C88" s="175">
        <f>C40-'[3]16退休(教)-性別'!C40</f>
        <v>0</v>
      </c>
      <c r="D88" s="175">
        <f>D40-'[3]16退休(教)-性別'!D40</f>
        <v>0</v>
      </c>
      <c r="E88" s="175">
        <f>E40-'[3]16退休(教)-性別'!E40</f>
        <v>0</v>
      </c>
      <c r="F88" s="175">
        <f>F40-'[3]16退休(教)-性別'!F40</f>
        <v>0</v>
      </c>
      <c r="G88" s="175">
        <f>G40-'[3]16退休(教)-性別'!G40</f>
        <v>0</v>
      </c>
    </row>
    <row r="89" spans="2:7" ht="32.25" customHeight="1">
      <c r="B89" s="175">
        <f>B41-'[3]16退休(教)-性別'!B41</f>
        <v>0</v>
      </c>
      <c r="C89" s="175">
        <f>C41-'[3]16退休(教)-性別'!C41</f>
        <v>0</v>
      </c>
      <c r="D89" s="175">
        <f>D41-'[3]16退休(教)-性別'!D41</f>
        <v>0</v>
      </c>
      <c r="E89" s="175">
        <f>E41-'[3]16退休(教)-性別'!E41</f>
        <v>0</v>
      </c>
      <c r="F89" s="175">
        <f>F41-'[3]16退休(教)-性別'!F41</f>
        <v>0</v>
      </c>
      <c r="G89" s="175">
        <f>G41-'[3]16退休(教)-性別'!G41</f>
        <v>0</v>
      </c>
    </row>
    <row r="90" spans="2:7" ht="32.25" customHeight="1">
      <c r="B90" s="175">
        <f>B42-'[3]16退休(教)-性別'!B42</f>
        <v>0</v>
      </c>
      <c r="C90" s="175">
        <f>C42-'[3]16退休(教)-性別'!C42</f>
        <v>0</v>
      </c>
      <c r="D90" s="175">
        <f>D42-'[3]16退休(教)-性別'!D42</f>
        <v>0</v>
      </c>
      <c r="E90" s="175">
        <f>E42-'[3]16退休(教)-性別'!E42</f>
        <v>0</v>
      </c>
      <c r="F90" s="175">
        <f>F42-'[3]16退休(教)-性別'!F42</f>
        <v>0</v>
      </c>
      <c r="G90" s="175">
        <f>G42-'[3]16退休(教)-性別'!G42</f>
        <v>0</v>
      </c>
    </row>
    <row r="91" spans="2:7" ht="32.25" customHeight="1">
      <c r="B91" s="175">
        <f>B43-'[3]16退休(教)-性別'!B43</f>
        <v>0</v>
      </c>
      <c r="C91" s="175">
        <f>C43-'[3]16退休(教)-性別'!C43</f>
        <v>0</v>
      </c>
      <c r="D91" s="175">
        <f>D43-'[3]16退休(教)-性別'!D43</f>
        <v>0</v>
      </c>
      <c r="E91" s="175">
        <f>E43-'[3]16退休(教)-性別'!E43</f>
        <v>0</v>
      </c>
      <c r="F91" s="175">
        <f>F43-'[3]16退休(教)-性別'!F43</f>
        <v>0</v>
      </c>
      <c r="G91" s="175">
        <f>G43-'[3]16退休(教)-性別'!G43</f>
        <v>0</v>
      </c>
    </row>
    <row r="92" spans="2:7" ht="32.25" customHeight="1">
      <c r="B92" s="175">
        <f>B44-'[3]16退休(教)-性別'!B44</f>
        <v>0</v>
      </c>
      <c r="C92" s="175">
        <f>C44-'[3]16退休(教)-性別'!C44</f>
        <v>0</v>
      </c>
      <c r="D92" s="175">
        <f>D44-'[3]16退休(教)-性別'!D44</f>
        <v>0</v>
      </c>
      <c r="E92" s="175">
        <f>E44-'[3]16退休(教)-性別'!E44</f>
        <v>0</v>
      </c>
      <c r="F92" s="175">
        <f>F44-'[3]16退休(教)-性別'!F44</f>
        <v>0</v>
      </c>
      <c r="G92" s="175">
        <f>G44-'[3]16退休(教)-性別'!G44</f>
        <v>0</v>
      </c>
    </row>
    <row r="93" spans="2:7" ht="32.25" customHeight="1">
      <c r="B93" s="175">
        <f>B45-'[3]16退休(教)-性別'!B45</f>
        <v>0</v>
      </c>
      <c r="C93" s="175">
        <f>C45-'[3]16退休(教)-性別'!C45</f>
        <v>0</v>
      </c>
      <c r="D93" s="175">
        <f>D45-'[3]16退休(教)-性別'!D45</f>
        <v>0</v>
      </c>
      <c r="E93" s="175">
        <f>E45-'[3]16退休(教)-性別'!E45</f>
        <v>0</v>
      </c>
      <c r="F93" s="175">
        <f>F45-'[3]16退休(教)-性別'!F45</f>
        <v>0</v>
      </c>
      <c r="G93" s="175">
        <f>G45-'[3]16退休(教)-性別'!G45</f>
        <v>0</v>
      </c>
    </row>
    <row r="94" spans="2:7" ht="32.25" customHeight="1">
      <c r="B94" s="175">
        <f>B46-'[3]16退休(教)-性別'!B46</f>
        <v>0</v>
      </c>
      <c r="C94" s="175">
        <f>C46-'[3]16退休(教)-性別'!C46</f>
        <v>0</v>
      </c>
      <c r="D94" s="175">
        <f>D46-'[3]16退休(教)-性別'!D46</f>
        <v>0</v>
      </c>
      <c r="E94" s="175">
        <f>E46-'[3]16退休(教)-性別'!E46</f>
        <v>0</v>
      </c>
      <c r="F94" s="175">
        <f>F46-'[3]16退休(教)-性別'!F46</f>
        <v>0</v>
      </c>
      <c r="G94" s="175">
        <f>G46-'[3]16退休(教)-性別'!G46</f>
        <v>0</v>
      </c>
    </row>
    <row r="95" spans="2:7" ht="32.25" customHeight="1">
      <c r="B95" s="175">
        <f>B47-'[3]16退休(教)-性別'!B47</f>
        <v>0</v>
      </c>
      <c r="C95" s="175">
        <f>C47-'[3]16退休(教)-性別'!C47</f>
        <v>0</v>
      </c>
      <c r="D95" s="175">
        <f>D47-'[3]16退休(教)-性別'!D47</f>
        <v>0</v>
      </c>
      <c r="E95" s="175">
        <f>E47-'[3]16退休(教)-性別'!E47</f>
        <v>0</v>
      </c>
      <c r="F95" s="175">
        <f>F47-'[3]16退休(教)-性別'!F47</f>
        <v>0</v>
      </c>
      <c r="G95" s="175">
        <f>G47-'[3]16退休(教)-性別'!G47</f>
        <v>0</v>
      </c>
    </row>
    <row r="96" spans="2:7" ht="32.25" customHeight="1">
      <c r="B96" s="175">
        <f>B48-'[3]16退休(教)-性別'!B48</f>
        <v>0</v>
      </c>
      <c r="C96" s="175">
        <f>C48-'[3]16退休(教)-性別'!C48</f>
        <v>0</v>
      </c>
      <c r="D96" s="175">
        <f>D48-'[3]16退休(教)-性別'!D48</f>
        <v>0</v>
      </c>
      <c r="E96" s="175">
        <f>E48-'[3]16退休(教)-性別'!E48</f>
        <v>0</v>
      </c>
      <c r="F96" s="175">
        <f>F48-'[3]16退休(教)-性別'!F48</f>
        <v>0</v>
      </c>
      <c r="G96" s="175">
        <f>G48-'[3]16退休(教)-性別'!G48</f>
        <v>0</v>
      </c>
    </row>
    <row r="97" spans="2:7" ht="32.25" customHeight="1">
      <c r="B97" s="175">
        <f>B49-'[3]16退休(教)-性別'!B49</f>
        <v>0</v>
      </c>
      <c r="C97" s="175">
        <f>C49-'[3]16退休(教)-性別'!C49</f>
        <v>0</v>
      </c>
      <c r="D97" s="175">
        <f>D49-'[3]16退休(教)-性別'!D49</f>
        <v>0</v>
      </c>
      <c r="E97" s="175">
        <f>E49-'[3]16退休(教)-性別'!E49</f>
        <v>0</v>
      </c>
      <c r="F97" s="175">
        <f>F49-'[3]16退休(教)-性別'!F49</f>
        <v>0</v>
      </c>
      <c r="G97" s="175">
        <f>G49-'[3]16退休(教)-性別'!G49</f>
        <v>0</v>
      </c>
    </row>
    <row r="98" spans="2:7" ht="32.25" customHeight="1">
      <c r="B98" s="175">
        <f>B50-'[3]16退休(教)-性別'!B50</f>
        <v>0</v>
      </c>
      <c r="C98" s="175">
        <f>C50-'[3]16退休(教)-性別'!C50</f>
        <v>0</v>
      </c>
      <c r="D98" s="175">
        <f>D50-'[3]16退休(教)-性別'!D50</f>
        <v>0</v>
      </c>
      <c r="E98" s="175">
        <f>E50-'[3]16退休(教)-性別'!E50</f>
        <v>0</v>
      </c>
      <c r="F98" s="175">
        <f>F50-'[3]16退休(教)-性別'!F50</f>
        <v>0</v>
      </c>
      <c r="G98" s="175">
        <f>G50-'[3]16退休(教)-性別'!G50</f>
        <v>0</v>
      </c>
    </row>
    <row r="99" spans="2:7" ht="32.25" customHeight="1"/>
    <row r="100" spans="2:7" ht="32.25" customHeight="1"/>
    <row r="101" spans="2:7" ht="32.25" customHeight="1"/>
    <row r="102" spans="2:7" ht="32.25" customHeight="1"/>
    <row r="103" spans="2:7" ht="32.25" customHeight="1"/>
    <row r="104" spans="2:7" ht="32.25" customHeight="1"/>
    <row r="105" spans="2:7" ht="32.25" customHeight="1"/>
    <row r="106" spans="2:7" ht="32.25" customHeight="1"/>
    <row r="107" spans="2:7" ht="32.25" customHeight="1"/>
    <row r="108" spans="2:7" ht="32.25" customHeight="1"/>
    <row r="109" spans="2:7" ht="32.25" customHeight="1"/>
    <row r="110" spans="2:7" ht="32.25" customHeight="1"/>
    <row r="111" spans="2:7" ht="32.25" customHeight="1"/>
    <row r="112" spans="2:7"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sheetData>
  <mergeCells count="6">
    <mergeCell ref="A1:G1"/>
    <mergeCell ref="A2:F2"/>
    <mergeCell ref="A3:A4"/>
    <mergeCell ref="B3:B4"/>
    <mergeCell ref="C3:F3"/>
    <mergeCell ref="G3:G4"/>
  </mergeCells>
  <phoneticPr fontId="3" type="noConversion"/>
  <pageMargins left="0.62992125984251968" right="0" top="0.59055118110236227" bottom="0.37" header="0" footer="0"/>
  <pageSetup paperSize="9" scale="94" firstPageNumber="6" fitToHeight="2" orientation="portrait" r:id="rId1"/>
  <headerFooter alignWithMargins="0"/>
  <rowBreaks count="1" manualBreakCount="1">
    <brk id="29" max="6" man="1"/>
  </rowBreaks>
</worksheet>
</file>

<file path=xl/worksheets/sheet19.xml><?xml version="1.0" encoding="utf-8"?>
<worksheet xmlns="http://schemas.openxmlformats.org/spreadsheetml/2006/main" xmlns:r="http://schemas.openxmlformats.org/officeDocument/2006/relationships">
  <sheetPr>
    <tabColor rgb="FFFFFF00"/>
  </sheetPr>
  <dimension ref="A1:O208"/>
  <sheetViews>
    <sheetView view="pageBreakPreview" zoomScaleNormal="100" zoomScaleSheetLayoutView="100"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2.625" style="26" customWidth="1"/>
    <col min="2" max="4" width="24.125" style="1" customWidth="1"/>
    <col min="5" max="5" width="10.75" style="1" bestFit="1" customWidth="1"/>
    <col min="6" max="16384" width="8.125" style="1"/>
  </cols>
  <sheetData>
    <row r="1" spans="1:15" ht="33" customHeight="1">
      <c r="A1" s="778" t="s">
        <v>151</v>
      </c>
      <c r="B1" s="778"/>
      <c r="C1" s="778"/>
      <c r="D1" s="778"/>
    </row>
    <row r="2" spans="1:15" s="2" customFormat="1" ht="33" customHeight="1">
      <c r="A2" s="792" t="s">
        <v>1000</v>
      </c>
      <c r="B2" s="792"/>
      <c r="C2" s="792"/>
      <c r="D2" s="792"/>
    </row>
    <row r="3" spans="1:15" s="2" customFormat="1" ht="26.1" customHeight="1">
      <c r="A3" s="793" t="s">
        <v>48</v>
      </c>
      <c r="B3" s="794" t="s">
        <v>49</v>
      </c>
      <c r="C3" s="795" t="s">
        <v>84</v>
      </c>
      <c r="D3" s="812"/>
    </row>
    <row r="4" spans="1:15" s="2" customFormat="1" ht="26.1" customHeight="1">
      <c r="A4" s="793"/>
      <c r="B4" s="794"/>
      <c r="C4" s="100" t="s">
        <v>152</v>
      </c>
      <c r="D4" s="105" t="s">
        <v>153</v>
      </c>
      <c r="F4" s="2" t="s">
        <v>1023</v>
      </c>
    </row>
    <row r="5" spans="1:15" s="6" customFormat="1" ht="26.1" customHeight="1">
      <c r="A5" s="42" t="s">
        <v>107</v>
      </c>
      <c r="B5" s="30">
        <f>SUM(C5:D5)</f>
        <v>11478</v>
      </c>
      <c r="C5" s="30">
        <f>SUM(C8:C31)+SUM(C32:C52)</f>
        <v>9463</v>
      </c>
      <c r="D5" s="30">
        <f>SUM(D8:D31)+SUM(D32:D52)</f>
        <v>2015</v>
      </c>
      <c r="E5" s="37">
        <f>B5-'9歷年退離(軍)-OK'!C17</f>
        <v>0</v>
      </c>
      <c r="F5" s="37">
        <f>SUM(B6:B7)-B5</f>
        <v>0</v>
      </c>
      <c r="G5" s="37">
        <f t="shared" ref="G5:H5" si="0">SUM(C6:C7)-C5</f>
        <v>0</v>
      </c>
      <c r="H5" s="37">
        <f t="shared" si="0"/>
        <v>0</v>
      </c>
    </row>
    <row r="6" spans="1:15" s="150" customFormat="1" ht="25.5" customHeight="1">
      <c r="A6" s="154" t="s">
        <v>399</v>
      </c>
      <c r="B6" s="30">
        <f t="shared" ref="B6:B52" si="1">SUM(C6:D6)</f>
        <v>10187</v>
      </c>
      <c r="C6" s="30">
        <v>8396</v>
      </c>
      <c r="D6" s="30">
        <v>1791</v>
      </c>
      <c r="E6" s="30"/>
      <c r="F6" s="30"/>
      <c r="G6" s="30"/>
      <c r="H6" s="30"/>
      <c r="I6" s="30"/>
      <c r="J6" s="30"/>
      <c r="K6" s="30"/>
      <c r="L6" s="30"/>
      <c r="M6" s="30"/>
      <c r="N6" s="30"/>
      <c r="O6" s="30"/>
    </row>
    <row r="7" spans="1:15" s="150" customFormat="1" ht="25.5" customHeight="1">
      <c r="A7" s="154" t="s">
        <v>401</v>
      </c>
      <c r="B7" s="30">
        <f t="shared" si="1"/>
        <v>1291</v>
      </c>
      <c r="C7" s="30">
        <v>1067</v>
      </c>
      <c r="D7" s="30">
        <v>224</v>
      </c>
      <c r="E7" s="30"/>
      <c r="F7" s="30"/>
      <c r="G7" s="30"/>
      <c r="H7" s="30"/>
      <c r="I7" s="30"/>
      <c r="J7" s="30"/>
      <c r="K7" s="30"/>
      <c r="L7" s="30"/>
      <c r="M7" s="30"/>
      <c r="N7" s="30"/>
      <c r="O7" s="30"/>
    </row>
    <row r="8" spans="1:15" s="6" customFormat="1" ht="26.1" customHeight="1">
      <c r="A8" s="43" t="s">
        <v>108</v>
      </c>
      <c r="B8" s="30">
        <f t="shared" si="1"/>
        <v>1257</v>
      </c>
      <c r="C8" s="30">
        <v>1257</v>
      </c>
      <c r="D8" s="30">
        <v>0</v>
      </c>
    </row>
    <row r="9" spans="1:15" s="6" customFormat="1" ht="26.1" customHeight="1">
      <c r="A9" s="43" t="s">
        <v>12</v>
      </c>
      <c r="B9" s="30">
        <f t="shared" si="1"/>
        <v>1284</v>
      </c>
      <c r="C9" s="30">
        <v>1284</v>
      </c>
      <c r="D9" s="30">
        <v>0</v>
      </c>
    </row>
    <row r="10" spans="1:15" s="6" customFormat="1" ht="26.1" customHeight="1">
      <c r="A10" s="43" t="s">
        <v>13</v>
      </c>
      <c r="B10" s="30">
        <f t="shared" si="1"/>
        <v>828</v>
      </c>
      <c r="C10" s="30">
        <v>828</v>
      </c>
      <c r="D10" s="30">
        <v>0</v>
      </c>
    </row>
    <row r="11" spans="1:15" s="6" customFormat="1" ht="26.1" customHeight="1">
      <c r="A11" s="43" t="s">
        <v>14</v>
      </c>
      <c r="B11" s="30">
        <f t="shared" si="1"/>
        <v>845</v>
      </c>
      <c r="C11" s="30">
        <v>845</v>
      </c>
      <c r="D11" s="30">
        <v>0</v>
      </c>
    </row>
    <row r="12" spans="1:15" s="6" customFormat="1" ht="26.1" customHeight="1">
      <c r="A12" s="43" t="s">
        <v>109</v>
      </c>
      <c r="B12" s="30">
        <f t="shared" si="1"/>
        <v>1639</v>
      </c>
      <c r="C12" s="30">
        <v>1639</v>
      </c>
      <c r="D12" s="30">
        <v>0</v>
      </c>
    </row>
    <row r="13" spans="1:15" s="6" customFormat="1" ht="26.1" customHeight="1">
      <c r="A13" s="43" t="s">
        <v>110</v>
      </c>
      <c r="B13" s="30">
        <f t="shared" si="1"/>
        <v>1174</v>
      </c>
      <c r="C13" s="30">
        <v>1174</v>
      </c>
      <c r="D13" s="30">
        <v>0</v>
      </c>
    </row>
    <row r="14" spans="1:15" s="6" customFormat="1" ht="26.1" customHeight="1">
      <c r="A14" s="43" t="s">
        <v>111</v>
      </c>
      <c r="B14" s="30">
        <f t="shared" si="1"/>
        <v>692</v>
      </c>
      <c r="C14" s="30">
        <v>692</v>
      </c>
      <c r="D14" s="30">
        <v>0</v>
      </c>
    </row>
    <row r="15" spans="1:15" ht="26.1" customHeight="1">
      <c r="A15" s="43" t="s">
        <v>112</v>
      </c>
      <c r="B15" s="30">
        <f t="shared" si="1"/>
        <v>431</v>
      </c>
      <c r="C15" s="30">
        <v>431</v>
      </c>
      <c r="D15" s="30">
        <v>0</v>
      </c>
    </row>
    <row r="16" spans="1:15" ht="26.1" customHeight="1">
      <c r="A16" s="43" t="s">
        <v>113</v>
      </c>
      <c r="B16" s="30">
        <f t="shared" si="1"/>
        <v>266</v>
      </c>
      <c r="C16" s="30">
        <v>266</v>
      </c>
      <c r="D16" s="30">
        <v>0</v>
      </c>
    </row>
    <row r="17" spans="1:4" ht="26.1" customHeight="1">
      <c r="A17" s="43" t="s">
        <v>114</v>
      </c>
      <c r="B17" s="30">
        <f t="shared" si="1"/>
        <v>225</v>
      </c>
      <c r="C17" s="30">
        <v>225</v>
      </c>
      <c r="D17" s="30">
        <v>0</v>
      </c>
    </row>
    <row r="18" spans="1:4" ht="26.1" customHeight="1">
      <c r="A18" s="43" t="s">
        <v>15</v>
      </c>
      <c r="B18" s="30">
        <f t="shared" si="1"/>
        <v>190</v>
      </c>
      <c r="C18" s="30">
        <v>190</v>
      </c>
      <c r="D18" s="30">
        <v>0</v>
      </c>
    </row>
    <row r="19" spans="1:4" ht="26.1" customHeight="1">
      <c r="A19" s="43" t="s">
        <v>16</v>
      </c>
      <c r="B19" s="30">
        <f t="shared" si="1"/>
        <v>148</v>
      </c>
      <c r="C19" s="30">
        <v>148</v>
      </c>
      <c r="D19" s="30">
        <v>0</v>
      </c>
    </row>
    <row r="20" spans="1:4" ht="26.1" customHeight="1">
      <c r="A20" s="43" t="s">
        <v>17</v>
      </c>
      <c r="B20" s="30">
        <f t="shared" si="1"/>
        <v>127</v>
      </c>
      <c r="C20" s="30">
        <v>127</v>
      </c>
      <c r="D20" s="30">
        <v>0</v>
      </c>
    </row>
    <row r="21" spans="1:4" ht="26.1" customHeight="1">
      <c r="A21" s="43" t="s">
        <v>18</v>
      </c>
      <c r="B21" s="30">
        <f t="shared" si="1"/>
        <v>86</v>
      </c>
      <c r="C21" s="30">
        <v>86</v>
      </c>
      <c r="D21" s="30">
        <v>0</v>
      </c>
    </row>
    <row r="22" spans="1:4" ht="26.1" customHeight="1">
      <c r="A22" s="43" t="s">
        <v>19</v>
      </c>
      <c r="B22" s="30">
        <f t="shared" si="1"/>
        <v>76</v>
      </c>
      <c r="C22" s="30">
        <v>76</v>
      </c>
      <c r="D22" s="30">
        <v>0</v>
      </c>
    </row>
    <row r="23" spans="1:4" ht="26.1" customHeight="1">
      <c r="A23" s="43" t="s">
        <v>20</v>
      </c>
      <c r="B23" s="30">
        <f t="shared" si="1"/>
        <v>83</v>
      </c>
      <c r="C23" s="30">
        <v>70</v>
      </c>
      <c r="D23" s="30">
        <v>13</v>
      </c>
    </row>
    <row r="24" spans="1:4" ht="26.1" customHeight="1">
      <c r="A24" s="43" t="s">
        <v>21</v>
      </c>
      <c r="B24" s="30">
        <f t="shared" si="1"/>
        <v>212</v>
      </c>
      <c r="C24" s="30">
        <v>28</v>
      </c>
      <c r="D24" s="30">
        <v>184</v>
      </c>
    </row>
    <row r="25" spans="1:4" ht="26.1" customHeight="1">
      <c r="A25" s="43" t="s">
        <v>22</v>
      </c>
      <c r="B25" s="30">
        <f t="shared" si="1"/>
        <v>290</v>
      </c>
      <c r="C25" s="30">
        <v>32</v>
      </c>
      <c r="D25" s="30">
        <v>258</v>
      </c>
    </row>
    <row r="26" spans="1:4" ht="26.1" customHeight="1">
      <c r="A26" s="43" t="s">
        <v>23</v>
      </c>
      <c r="B26" s="30">
        <f t="shared" si="1"/>
        <v>297</v>
      </c>
      <c r="C26" s="30">
        <v>27</v>
      </c>
      <c r="D26" s="30">
        <v>270</v>
      </c>
    </row>
    <row r="27" spans="1:4" ht="26.1" customHeight="1">
      <c r="A27" s="43" t="s">
        <v>24</v>
      </c>
      <c r="B27" s="30">
        <f t="shared" si="1"/>
        <v>312</v>
      </c>
      <c r="C27" s="30">
        <v>19</v>
      </c>
      <c r="D27" s="30">
        <v>293</v>
      </c>
    </row>
    <row r="28" spans="1:4" ht="26.1" customHeight="1">
      <c r="A28" s="43" t="s">
        <v>154</v>
      </c>
      <c r="B28" s="30">
        <f t="shared" si="1"/>
        <v>241</v>
      </c>
      <c r="C28" s="30">
        <v>8</v>
      </c>
      <c r="D28" s="30">
        <v>233</v>
      </c>
    </row>
    <row r="29" spans="1:4" s="6" customFormat="1" ht="26.1" customHeight="1">
      <c r="A29" s="43" t="s">
        <v>35</v>
      </c>
      <c r="B29" s="30">
        <f t="shared" si="1"/>
        <v>200</v>
      </c>
      <c r="C29" s="30">
        <v>4</v>
      </c>
      <c r="D29" s="30">
        <v>196</v>
      </c>
    </row>
    <row r="30" spans="1:4" s="6" customFormat="1" ht="26.1" customHeight="1">
      <c r="A30" s="43" t="s">
        <v>36</v>
      </c>
      <c r="B30" s="30">
        <f t="shared" si="1"/>
        <v>134</v>
      </c>
      <c r="C30" s="30">
        <v>4</v>
      </c>
      <c r="D30" s="30">
        <v>130</v>
      </c>
    </row>
    <row r="31" spans="1:4" s="6" customFormat="1" ht="26.1" customHeight="1">
      <c r="A31" s="44" t="s">
        <v>115</v>
      </c>
      <c r="B31" s="33">
        <f t="shared" si="1"/>
        <v>70</v>
      </c>
      <c r="C31" s="34">
        <v>1</v>
      </c>
      <c r="D31" s="34">
        <v>69</v>
      </c>
    </row>
    <row r="32" spans="1:4" s="6" customFormat="1" ht="25.5" customHeight="1">
      <c r="A32" s="43" t="s">
        <v>116</v>
      </c>
      <c r="B32" s="30">
        <f t="shared" si="1"/>
        <v>64</v>
      </c>
      <c r="C32" s="30">
        <v>0</v>
      </c>
      <c r="D32" s="30">
        <v>64</v>
      </c>
    </row>
    <row r="33" spans="1:4" s="6" customFormat="1" ht="25.5" customHeight="1">
      <c r="A33" s="43" t="s">
        <v>117</v>
      </c>
      <c r="B33" s="30">
        <f t="shared" si="1"/>
        <v>46</v>
      </c>
      <c r="C33" s="30">
        <v>0</v>
      </c>
      <c r="D33" s="30">
        <v>46</v>
      </c>
    </row>
    <row r="34" spans="1:4" s="6" customFormat="1" ht="25.5" customHeight="1">
      <c r="A34" s="43" t="s">
        <v>118</v>
      </c>
      <c r="B34" s="30">
        <f t="shared" si="1"/>
        <v>30</v>
      </c>
      <c r="C34" s="30">
        <v>1</v>
      </c>
      <c r="D34" s="30">
        <v>29</v>
      </c>
    </row>
    <row r="35" spans="1:4" ht="25.5" customHeight="1">
      <c r="A35" s="43" t="s">
        <v>119</v>
      </c>
      <c r="B35" s="30">
        <f t="shared" si="1"/>
        <v>39</v>
      </c>
      <c r="C35" s="30">
        <v>0</v>
      </c>
      <c r="D35" s="30">
        <v>39</v>
      </c>
    </row>
    <row r="36" spans="1:4" ht="25.5" customHeight="1">
      <c r="A36" s="43" t="s">
        <v>120</v>
      </c>
      <c r="B36" s="30">
        <f t="shared" si="1"/>
        <v>46</v>
      </c>
      <c r="C36" s="30">
        <v>0</v>
      </c>
      <c r="D36" s="30">
        <v>46</v>
      </c>
    </row>
    <row r="37" spans="1:4" ht="25.5" customHeight="1">
      <c r="A37" s="43" t="s">
        <v>121</v>
      </c>
      <c r="B37" s="30">
        <f t="shared" si="1"/>
        <v>32</v>
      </c>
      <c r="C37" s="30">
        <v>0</v>
      </c>
      <c r="D37" s="30">
        <v>32</v>
      </c>
    </row>
    <row r="38" spans="1:4" ht="25.5" customHeight="1">
      <c r="A38" s="43" t="s">
        <v>122</v>
      </c>
      <c r="B38" s="30">
        <f t="shared" si="1"/>
        <v>42</v>
      </c>
      <c r="C38" s="30">
        <v>0</v>
      </c>
      <c r="D38" s="30">
        <v>42</v>
      </c>
    </row>
    <row r="39" spans="1:4" ht="25.5" customHeight="1">
      <c r="A39" s="43" t="s">
        <v>123</v>
      </c>
      <c r="B39" s="30">
        <f t="shared" si="1"/>
        <v>11</v>
      </c>
      <c r="C39" s="30">
        <v>0</v>
      </c>
      <c r="D39" s="30">
        <v>11</v>
      </c>
    </row>
    <row r="40" spans="1:4" ht="25.5" customHeight="1">
      <c r="A40" s="43" t="s">
        <v>124</v>
      </c>
      <c r="B40" s="30">
        <f t="shared" si="1"/>
        <v>6</v>
      </c>
      <c r="C40" s="30">
        <v>0</v>
      </c>
      <c r="D40" s="30">
        <v>6</v>
      </c>
    </row>
    <row r="41" spans="1:4" ht="25.5" customHeight="1">
      <c r="A41" s="43" t="s">
        <v>125</v>
      </c>
      <c r="B41" s="30">
        <f t="shared" si="1"/>
        <v>5</v>
      </c>
      <c r="C41" s="30">
        <v>0</v>
      </c>
      <c r="D41" s="30">
        <v>5</v>
      </c>
    </row>
    <row r="42" spans="1:4" ht="25.5" customHeight="1">
      <c r="A42" s="43" t="s">
        <v>126</v>
      </c>
      <c r="B42" s="30">
        <f t="shared" si="1"/>
        <v>7</v>
      </c>
      <c r="C42" s="30">
        <v>0</v>
      </c>
      <c r="D42" s="30">
        <v>7</v>
      </c>
    </row>
    <row r="43" spans="1:4" ht="25.5" customHeight="1">
      <c r="A43" s="43" t="s">
        <v>127</v>
      </c>
      <c r="B43" s="30">
        <f t="shared" si="1"/>
        <v>12</v>
      </c>
      <c r="C43" s="30">
        <v>0</v>
      </c>
      <c r="D43" s="30">
        <v>12</v>
      </c>
    </row>
    <row r="44" spans="1:4" ht="25.5" customHeight="1">
      <c r="A44" s="43" t="s">
        <v>128</v>
      </c>
      <c r="B44" s="30">
        <f t="shared" si="1"/>
        <v>23</v>
      </c>
      <c r="C44" s="30">
        <v>1</v>
      </c>
      <c r="D44" s="30">
        <v>22</v>
      </c>
    </row>
    <row r="45" spans="1:4" ht="25.5" customHeight="1">
      <c r="A45" s="43" t="s">
        <v>129</v>
      </c>
      <c r="B45" s="30">
        <f t="shared" si="1"/>
        <v>2</v>
      </c>
      <c r="C45" s="30">
        <v>0</v>
      </c>
      <c r="D45" s="30">
        <v>2</v>
      </c>
    </row>
    <row r="46" spans="1:4" ht="25.5" customHeight="1">
      <c r="A46" s="43" t="s">
        <v>130</v>
      </c>
      <c r="B46" s="30">
        <f t="shared" si="1"/>
        <v>4</v>
      </c>
      <c r="C46" s="30">
        <v>0</v>
      </c>
      <c r="D46" s="30">
        <v>4</v>
      </c>
    </row>
    <row r="47" spans="1:4" ht="25.5" customHeight="1">
      <c r="A47" s="43" t="s">
        <v>131</v>
      </c>
      <c r="B47" s="30">
        <f t="shared" si="1"/>
        <v>0</v>
      </c>
      <c r="C47" s="30">
        <v>0</v>
      </c>
      <c r="D47" s="30">
        <v>0</v>
      </c>
    </row>
    <row r="48" spans="1:4" ht="25.5" customHeight="1">
      <c r="A48" s="43" t="s">
        <v>132</v>
      </c>
      <c r="B48" s="30">
        <f t="shared" si="1"/>
        <v>0</v>
      </c>
      <c r="C48" s="30">
        <v>0</v>
      </c>
      <c r="D48" s="30">
        <v>0</v>
      </c>
    </row>
    <row r="49" spans="1:4" ht="25.5" customHeight="1">
      <c r="A49" s="43" t="s">
        <v>133</v>
      </c>
      <c r="B49" s="30">
        <f t="shared" si="1"/>
        <v>0</v>
      </c>
      <c r="C49" s="30">
        <v>0</v>
      </c>
      <c r="D49" s="30">
        <v>0</v>
      </c>
    </row>
    <row r="50" spans="1:4" ht="25.5" customHeight="1">
      <c r="A50" s="43" t="s">
        <v>134</v>
      </c>
      <c r="B50" s="30">
        <f t="shared" si="1"/>
        <v>2</v>
      </c>
      <c r="C50" s="30">
        <v>0</v>
      </c>
      <c r="D50" s="30">
        <v>2</v>
      </c>
    </row>
    <row r="51" spans="1:4" ht="25.5" customHeight="1">
      <c r="A51" s="43" t="s">
        <v>135</v>
      </c>
      <c r="B51" s="30">
        <f t="shared" si="1"/>
        <v>0</v>
      </c>
      <c r="C51" s="30">
        <v>0</v>
      </c>
      <c r="D51" s="30">
        <v>0</v>
      </c>
    </row>
    <row r="52" spans="1:4" ht="25.5" customHeight="1">
      <c r="A52" s="43" t="s">
        <v>136</v>
      </c>
      <c r="B52" s="30">
        <f t="shared" si="1"/>
        <v>0</v>
      </c>
      <c r="C52" s="30">
        <v>0</v>
      </c>
      <c r="D52" s="30">
        <v>0</v>
      </c>
    </row>
    <row r="53" spans="1:4" ht="25.5" customHeight="1">
      <c r="A53" s="153" t="s">
        <v>137</v>
      </c>
      <c r="B53" s="77">
        <v>29.09</v>
      </c>
      <c r="C53" s="78">
        <v>26.2</v>
      </c>
      <c r="D53" s="78">
        <v>42.65</v>
      </c>
    </row>
    <row r="54" spans="1:4" s="6" customFormat="1" ht="18.75" customHeight="1">
      <c r="A54" s="106" t="s">
        <v>155</v>
      </c>
      <c r="B54" s="106"/>
      <c r="C54" s="106"/>
      <c r="D54" s="106"/>
    </row>
    <row r="55" spans="1:4" ht="18.75" customHeight="1">
      <c r="A55" s="12" t="s">
        <v>341</v>
      </c>
      <c r="B55" s="12"/>
      <c r="C55" s="12"/>
      <c r="D55" s="12"/>
    </row>
    <row r="56" spans="1:4" ht="18.75" customHeight="1">
      <c r="A56" s="12" t="s">
        <v>342</v>
      </c>
      <c r="B56" s="12"/>
      <c r="C56" s="12"/>
      <c r="D56" s="12"/>
    </row>
    <row r="57" spans="1:4" ht="18.75" customHeight="1">
      <c r="A57" s="12" t="s">
        <v>343</v>
      </c>
      <c r="B57" s="12"/>
      <c r="C57" s="12"/>
      <c r="D57" s="12"/>
    </row>
    <row r="58" spans="1:4" ht="18.75" customHeight="1">
      <c r="A58" s="12" t="s">
        <v>344</v>
      </c>
      <c r="B58" s="12"/>
      <c r="C58" s="12"/>
      <c r="D58" s="12"/>
    </row>
    <row r="59" spans="1:4" ht="16.5">
      <c r="A59" s="49" t="s">
        <v>156</v>
      </c>
    </row>
    <row r="60" spans="1:4" ht="32.25" customHeight="1">
      <c r="A60" s="703" t="s">
        <v>1027</v>
      </c>
      <c r="B60" s="143">
        <f>B5-'[3]17退伍(軍)-性別'!B5</f>
        <v>0</v>
      </c>
      <c r="C60" s="143">
        <f>C5-'[3]17退伍(軍)-性別'!C5</f>
        <v>0</v>
      </c>
      <c r="D60" s="143">
        <f>D5-'[3]17退伍(軍)-性別'!D5</f>
        <v>0</v>
      </c>
    </row>
    <row r="61" spans="1:4" ht="32.25" customHeight="1">
      <c r="B61" s="143">
        <f>B6-'[3]17退伍(軍)-性別'!B6</f>
        <v>0</v>
      </c>
      <c r="C61" s="143">
        <f>C6-'[3]17退伍(軍)-性別'!C6</f>
        <v>0</v>
      </c>
      <c r="D61" s="143">
        <f>D6-'[3]17退伍(軍)-性別'!D6</f>
        <v>0</v>
      </c>
    </row>
    <row r="62" spans="1:4" ht="32.25" customHeight="1">
      <c r="B62" s="143">
        <f>B7-'[3]17退伍(軍)-性別'!B7</f>
        <v>0</v>
      </c>
      <c r="C62" s="143">
        <f>C7-'[3]17退伍(軍)-性別'!C7</f>
        <v>0</v>
      </c>
      <c r="D62" s="143">
        <f>D7-'[3]17退伍(軍)-性別'!D7</f>
        <v>0</v>
      </c>
    </row>
    <row r="63" spans="1:4" ht="32.25" customHeight="1">
      <c r="B63" s="143">
        <f>B8-'[3]17退伍(軍)-性別'!B8</f>
        <v>0</v>
      </c>
      <c r="C63" s="143">
        <f>C8-'[3]17退伍(軍)-性別'!C8</f>
        <v>0</v>
      </c>
      <c r="D63" s="143">
        <f>D8-'[3]17退伍(軍)-性別'!D8</f>
        <v>0</v>
      </c>
    </row>
    <row r="64" spans="1:4" ht="32.25" customHeight="1">
      <c r="B64" s="143">
        <f>B9-'[3]17退伍(軍)-性別'!B9</f>
        <v>0</v>
      </c>
      <c r="C64" s="143">
        <f>C9-'[3]17退伍(軍)-性別'!C9</f>
        <v>0</v>
      </c>
      <c r="D64" s="143">
        <f>D9-'[3]17退伍(軍)-性別'!D9</f>
        <v>0</v>
      </c>
    </row>
    <row r="65" spans="2:4" ht="32.25" customHeight="1">
      <c r="B65" s="143">
        <f>B10-'[3]17退伍(軍)-性別'!B10</f>
        <v>0</v>
      </c>
      <c r="C65" s="143">
        <f>C10-'[3]17退伍(軍)-性別'!C10</f>
        <v>0</v>
      </c>
      <c r="D65" s="143">
        <f>D10-'[3]17退伍(軍)-性別'!D10</f>
        <v>0</v>
      </c>
    </row>
    <row r="66" spans="2:4" ht="32.25" customHeight="1">
      <c r="B66" s="143">
        <f>B11-'[3]17退伍(軍)-性別'!B11</f>
        <v>0</v>
      </c>
      <c r="C66" s="143">
        <f>C11-'[3]17退伍(軍)-性別'!C11</f>
        <v>0</v>
      </c>
      <c r="D66" s="143">
        <f>D11-'[3]17退伍(軍)-性別'!D11</f>
        <v>0</v>
      </c>
    </row>
    <row r="67" spans="2:4" ht="32.25" customHeight="1">
      <c r="B67" s="143">
        <f>B12-'[3]17退伍(軍)-性別'!B12</f>
        <v>0</v>
      </c>
      <c r="C67" s="143">
        <f>C12-'[3]17退伍(軍)-性別'!C12</f>
        <v>0</v>
      </c>
      <c r="D67" s="143">
        <f>D12-'[3]17退伍(軍)-性別'!D12</f>
        <v>0</v>
      </c>
    </row>
    <row r="68" spans="2:4" ht="32.25" customHeight="1">
      <c r="B68" s="143">
        <f>B13-'[3]17退伍(軍)-性別'!B13</f>
        <v>0</v>
      </c>
      <c r="C68" s="143">
        <f>C13-'[3]17退伍(軍)-性別'!C13</f>
        <v>0</v>
      </c>
      <c r="D68" s="143">
        <f>D13-'[3]17退伍(軍)-性別'!D13</f>
        <v>0</v>
      </c>
    </row>
    <row r="69" spans="2:4" ht="32.25" customHeight="1">
      <c r="B69" s="143">
        <f>B14-'[3]17退伍(軍)-性別'!B14</f>
        <v>0</v>
      </c>
      <c r="C69" s="143">
        <f>C14-'[3]17退伍(軍)-性別'!C14</f>
        <v>0</v>
      </c>
      <c r="D69" s="143">
        <f>D14-'[3]17退伍(軍)-性別'!D14</f>
        <v>0</v>
      </c>
    </row>
    <row r="70" spans="2:4" ht="32.25" customHeight="1">
      <c r="B70" s="143">
        <f>B15-'[3]17退伍(軍)-性別'!B15</f>
        <v>0</v>
      </c>
      <c r="C70" s="143">
        <f>C15-'[3]17退伍(軍)-性別'!C15</f>
        <v>0</v>
      </c>
      <c r="D70" s="143">
        <f>D15-'[3]17退伍(軍)-性別'!D15</f>
        <v>0</v>
      </c>
    </row>
    <row r="71" spans="2:4" ht="32.25" customHeight="1">
      <c r="B71" s="143">
        <f>B16-'[3]17退伍(軍)-性別'!B16</f>
        <v>0</v>
      </c>
      <c r="C71" s="143">
        <f>C16-'[3]17退伍(軍)-性別'!C16</f>
        <v>0</v>
      </c>
      <c r="D71" s="143">
        <f>D16-'[3]17退伍(軍)-性別'!D16</f>
        <v>0</v>
      </c>
    </row>
    <row r="72" spans="2:4" ht="32.25" customHeight="1">
      <c r="B72" s="143">
        <f>B17-'[3]17退伍(軍)-性別'!B17</f>
        <v>0</v>
      </c>
      <c r="C72" s="143">
        <f>C17-'[3]17退伍(軍)-性別'!C17</f>
        <v>0</v>
      </c>
      <c r="D72" s="143">
        <f>D17-'[3]17退伍(軍)-性別'!D17</f>
        <v>0</v>
      </c>
    </row>
    <row r="73" spans="2:4" ht="32.25" customHeight="1">
      <c r="B73" s="143">
        <f>B18-'[3]17退伍(軍)-性別'!B18</f>
        <v>0</v>
      </c>
      <c r="C73" s="143">
        <f>C18-'[3]17退伍(軍)-性別'!C18</f>
        <v>0</v>
      </c>
      <c r="D73" s="143">
        <f>D18-'[3]17退伍(軍)-性別'!D18</f>
        <v>0</v>
      </c>
    </row>
    <row r="74" spans="2:4" ht="32.25" customHeight="1">
      <c r="B74" s="143">
        <f>B19-'[3]17退伍(軍)-性別'!B19</f>
        <v>0</v>
      </c>
      <c r="C74" s="143">
        <f>C19-'[3]17退伍(軍)-性別'!C19</f>
        <v>0</v>
      </c>
      <c r="D74" s="143">
        <f>D19-'[3]17退伍(軍)-性別'!D19</f>
        <v>0</v>
      </c>
    </row>
    <row r="75" spans="2:4" ht="32.25" customHeight="1">
      <c r="B75" s="143">
        <f>B20-'[3]17退伍(軍)-性別'!B20</f>
        <v>0</v>
      </c>
      <c r="C75" s="143">
        <f>C20-'[3]17退伍(軍)-性別'!C20</f>
        <v>0</v>
      </c>
      <c r="D75" s="143">
        <f>D20-'[3]17退伍(軍)-性別'!D20</f>
        <v>0</v>
      </c>
    </row>
    <row r="76" spans="2:4" ht="32.25" customHeight="1">
      <c r="B76" s="143">
        <f>B21-'[3]17退伍(軍)-性別'!B21</f>
        <v>0</v>
      </c>
      <c r="C76" s="143">
        <f>C21-'[3]17退伍(軍)-性別'!C21</f>
        <v>0</v>
      </c>
      <c r="D76" s="143">
        <f>D21-'[3]17退伍(軍)-性別'!D21</f>
        <v>0</v>
      </c>
    </row>
    <row r="77" spans="2:4" ht="32.25" customHeight="1">
      <c r="B77" s="143">
        <f>B22-'[3]17退伍(軍)-性別'!B22</f>
        <v>0</v>
      </c>
      <c r="C77" s="143">
        <f>C22-'[3]17退伍(軍)-性別'!C22</f>
        <v>0</v>
      </c>
      <c r="D77" s="143">
        <f>D22-'[3]17退伍(軍)-性別'!D22</f>
        <v>0</v>
      </c>
    </row>
    <row r="78" spans="2:4" ht="32.25" customHeight="1">
      <c r="B78" s="143">
        <f>B23-'[3]17退伍(軍)-性別'!B23</f>
        <v>0</v>
      </c>
      <c r="C78" s="143">
        <f>C23-'[3]17退伍(軍)-性別'!C23</f>
        <v>0</v>
      </c>
      <c r="D78" s="143">
        <f>D23-'[3]17退伍(軍)-性別'!D23</f>
        <v>0</v>
      </c>
    </row>
    <row r="79" spans="2:4" ht="32.25" customHeight="1">
      <c r="B79" s="143">
        <f>B24-'[3]17退伍(軍)-性別'!B24</f>
        <v>0</v>
      </c>
      <c r="C79" s="143">
        <f>C24-'[3]17退伍(軍)-性別'!C24</f>
        <v>0</v>
      </c>
      <c r="D79" s="143">
        <f>D24-'[3]17退伍(軍)-性別'!D24</f>
        <v>0</v>
      </c>
    </row>
    <row r="80" spans="2:4" ht="32.25" customHeight="1">
      <c r="B80" s="143">
        <f>B25-'[3]17退伍(軍)-性別'!B25</f>
        <v>0</v>
      </c>
      <c r="C80" s="143">
        <f>C25-'[3]17退伍(軍)-性別'!C25</f>
        <v>0</v>
      </c>
      <c r="D80" s="143">
        <f>D25-'[3]17退伍(軍)-性別'!D25</f>
        <v>0</v>
      </c>
    </row>
    <row r="81" spans="2:4" ht="32.25" customHeight="1">
      <c r="B81" s="143">
        <f>B26-'[3]17退伍(軍)-性別'!B26</f>
        <v>0</v>
      </c>
      <c r="C81" s="143">
        <f>C26-'[3]17退伍(軍)-性別'!C26</f>
        <v>0</v>
      </c>
      <c r="D81" s="143">
        <f>D26-'[3]17退伍(軍)-性別'!D26</f>
        <v>0</v>
      </c>
    </row>
    <row r="82" spans="2:4" ht="32.25" customHeight="1">
      <c r="B82" s="143">
        <f>B27-'[3]17退伍(軍)-性別'!B27</f>
        <v>0</v>
      </c>
      <c r="C82" s="143">
        <f>C27-'[3]17退伍(軍)-性別'!C27</f>
        <v>0</v>
      </c>
      <c r="D82" s="143">
        <f>D27-'[3]17退伍(軍)-性別'!D27</f>
        <v>0</v>
      </c>
    </row>
    <row r="83" spans="2:4" ht="32.25" customHeight="1">
      <c r="B83" s="143">
        <f>B28-'[3]17退伍(軍)-性別'!B28</f>
        <v>0</v>
      </c>
      <c r="C83" s="143">
        <f>C28-'[3]17退伍(軍)-性別'!C28</f>
        <v>0</v>
      </c>
      <c r="D83" s="143">
        <f>D28-'[3]17退伍(軍)-性別'!D28</f>
        <v>0</v>
      </c>
    </row>
    <row r="84" spans="2:4" ht="32.25" customHeight="1">
      <c r="B84" s="143">
        <f>B29-'[3]17退伍(軍)-性別'!B29</f>
        <v>0</v>
      </c>
      <c r="C84" s="143">
        <f>C29-'[3]17退伍(軍)-性別'!C29</f>
        <v>0</v>
      </c>
      <c r="D84" s="143">
        <f>D29-'[3]17退伍(軍)-性別'!D29</f>
        <v>0</v>
      </c>
    </row>
    <row r="85" spans="2:4" ht="32.25" customHeight="1">
      <c r="B85" s="143">
        <f>B30-'[3]17退伍(軍)-性別'!B30</f>
        <v>0</v>
      </c>
      <c r="C85" s="143">
        <f>C30-'[3]17退伍(軍)-性別'!C30</f>
        <v>0</v>
      </c>
      <c r="D85" s="143">
        <f>D30-'[3]17退伍(軍)-性別'!D30</f>
        <v>0</v>
      </c>
    </row>
    <row r="86" spans="2:4" ht="32.25" customHeight="1">
      <c r="B86" s="143">
        <f>B31-'[3]17退伍(軍)-性別'!B31</f>
        <v>0</v>
      </c>
      <c r="C86" s="143">
        <f>C31-'[3]17退伍(軍)-性別'!C31</f>
        <v>0</v>
      </c>
      <c r="D86" s="143">
        <f>D31-'[3]17退伍(軍)-性別'!D31</f>
        <v>0</v>
      </c>
    </row>
    <row r="87" spans="2:4" ht="32.25" customHeight="1">
      <c r="B87" s="143">
        <f>B32-'[3]17退伍(軍)-性別'!B32</f>
        <v>0</v>
      </c>
      <c r="C87" s="143">
        <f>C32-'[3]17退伍(軍)-性別'!C32</f>
        <v>0</v>
      </c>
      <c r="D87" s="143">
        <f>D32-'[3]17退伍(軍)-性別'!D32</f>
        <v>0</v>
      </c>
    </row>
    <row r="88" spans="2:4" ht="32.25" customHeight="1">
      <c r="B88" s="143">
        <f>B33-'[3]17退伍(軍)-性別'!B33</f>
        <v>0</v>
      </c>
      <c r="C88" s="143">
        <f>C33-'[3]17退伍(軍)-性別'!C33</f>
        <v>0</v>
      </c>
      <c r="D88" s="143">
        <f>D33-'[3]17退伍(軍)-性別'!D33</f>
        <v>0</v>
      </c>
    </row>
    <row r="89" spans="2:4" ht="32.25" customHeight="1">
      <c r="B89" s="143">
        <f>B34-'[3]17退伍(軍)-性別'!B34</f>
        <v>0</v>
      </c>
      <c r="C89" s="143">
        <f>C34-'[3]17退伍(軍)-性別'!C34</f>
        <v>0</v>
      </c>
      <c r="D89" s="143">
        <f>D34-'[3]17退伍(軍)-性別'!D34</f>
        <v>0</v>
      </c>
    </row>
    <row r="90" spans="2:4" ht="32.25" customHeight="1">
      <c r="B90" s="143">
        <f>B35-'[3]17退伍(軍)-性別'!B35</f>
        <v>0</v>
      </c>
      <c r="C90" s="143">
        <f>C35-'[3]17退伍(軍)-性別'!C35</f>
        <v>0</v>
      </c>
      <c r="D90" s="143">
        <f>D35-'[3]17退伍(軍)-性別'!D35</f>
        <v>0</v>
      </c>
    </row>
    <row r="91" spans="2:4" ht="32.25" customHeight="1">
      <c r="B91" s="143">
        <f>B36-'[3]17退伍(軍)-性別'!B36</f>
        <v>0</v>
      </c>
      <c r="C91" s="143">
        <f>C36-'[3]17退伍(軍)-性別'!C36</f>
        <v>0</v>
      </c>
      <c r="D91" s="143">
        <f>D36-'[3]17退伍(軍)-性別'!D36</f>
        <v>0</v>
      </c>
    </row>
    <row r="92" spans="2:4" ht="32.25" customHeight="1">
      <c r="B92" s="143">
        <f>B37-'[3]17退伍(軍)-性別'!B37</f>
        <v>0</v>
      </c>
      <c r="C92" s="143">
        <f>C37-'[3]17退伍(軍)-性別'!C37</f>
        <v>0</v>
      </c>
      <c r="D92" s="143">
        <f>D37-'[3]17退伍(軍)-性別'!D37</f>
        <v>0</v>
      </c>
    </row>
    <row r="93" spans="2:4" ht="32.25" customHeight="1">
      <c r="B93" s="143">
        <f>B38-'[3]17退伍(軍)-性別'!B38</f>
        <v>0</v>
      </c>
      <c r="C93" s="143">
        <f>C38-'[3]17退伍(軍)-性別'!C38</f>
        <v>0</v>
      </c>
      <c r="D93" s="143">
        <f>D38-'[3]17退伍(軍)-性別'!D38</f>
        <v>0</v>
      </c>
    </row>
    <row r="94" spans="2:4" ht="32.25" customHeight="1">
      <c r="B94" s="143">
        <f>B39-'[3]17退伍(軍)-性別'!B39</f>
        <v>0</v>
      </c>
      <c r="C94" s="143">
        <f>C39-'[3]17退伍(軍)-性別'!C39</f>
        <v>0</v>
      </c>
      <c r="D94" s="143">
        <f>D39-'[3]17退伍(軍)-性別'!D39</f>
        <v>0</v>
      </c>
    </row>
    <row r="95" spans="2:4" ht="32.25" customHeight="1">
      <c r="B95" s="143">
        <f>B40-'[3]17退伍(軍)-性別'!B40</f>
        <v>0</v>
      </c>
      <c r="C95" s="143">
        <f>C40-'[3]17退伍(軍)-性別'!C40</f>
        <v>0</v>
      </c>
      <c r="D95" s="143">
        <f>D40-'[3]17退伍(軍)-性別'!D40</f>
        <v>0</v>
      </c>
    </row>
    <row r="96" spans="2:4" ht="32.25" customHeight="1">
      <c r="B96" s="143">
        <f>B41-'[3]17退伍(軍)-性別'!B41</f>
        <v>0</v>
      </c>
      <c r="C96" s="143">
        <f>C41-'[3]17退伍(軍)-性別'!C41</f>
        <v>0</v>
      </c>
      <c r="D96" s="143">
        <f>D41-'[3]17退伍(軍)-性別'!D41</f>
        <v>0</v>
      </c>
    </row>
    <row r="97" spans="2:4" ht="32.25" customHeight="1">
      <c r="B97" s="143">
        <f>B42-'[3]17退伍(軍)-性別'!B42</f>
        <v>0</v>
      </c>
      <c r="C97" s="143">
        <f>C42-'[3]17退伍(軍)-性別'!C42</f>
        <v>0</v>
      </c>
      <c r="D97" s="143">
        <f>D42-'[3]17退伍(軍)-性別'!D42</f>
        <v>0</v>
      </c>
    </row>
    <row r="98" spans="2:4" ht="32.25" customHeight="1">
      <c r="B98" s="143">
        <f>B43-'[3]17退伍(軍)-性別'!B43</f>
        <v>0</v>
      </c>
      <c r="C98" s="143">
        <f>C43-'[3]17退伍(軍)-性別'!C43</f>
        <v>0</v>
      </c>
      <c r="D98" s="143">
        <f>D43-'[3]17退伍(軍)-性別'!D43</f>
        <v>0</v>
      </c>
    </row>
    <row r="99" spans="2:4" ht="32.25" customHeight="1">
      <c r="B99" s="143">
        <f>B44-'[3]17退伍(軍)-性別'!B44</f>
        <v>0</v>
      </c>
      <c r="C99" s="143">
        <f>C44-'[3]17退伍(軍)-性別'!C44</f>
        <v>0</v>
      </c>
      <c r="D99" s="143">
        <f>D44-'[3]17退伍(軍)-性別'!D44</f>
        <v>0</v>
      </c>
    </row>
    <row r="100" spans="2:4" ht="32.25" customHeight="1">
      <c r="B100" s="143">
        <f>B45-'[3]17退伍(軍)-性別'!B45</f>
        <v>0</v>
      </c>
      <c r="C100" s="143">
        <f>C45-'[3]17退伍(軍)-性別'!C45</f>
        <v>0</v>
      </c>
      <c r="D100" s="143">
        <f>D45-'[3]17退伍(軍)-性別'!D45</f>
        <v>0</v>
      </c>
    </row>
    <row r="101" spans="2:4" ht="32.25" customHeight="1">
      <c r="B101" s="143">
        <f>B46-'[3]17退伍(軍)-性別'!B46</f>
        <v>0</v>
      </c>
      <c r="C101" s="143">
        <f>C46-'[3]17退伍(軍)-性別'!C46</f>
        <v>0</v>
      </c>
      <c r="D101" s="143">
        <f>D46-'[3]17退伍(軍)-性別'!D46</f>
        <v>0</v>
      </c>
    </row>
    <row r="102" spans="2:4" ht="32.25" customHeight="1">
      <c r="B102" s="143">
        <f>B47-'[3]17退伍(軍)-性別'!B47</f>
        <v>0</v>
      </c>
      <c r="C102" s="143">
        <f>C47-'[3]17退伍(軍)-性別'!C47</f>
        <v>0</v>
      </c>
      <c r="D102" s="143">
        <f>D47-'[3]17退伍(軍)-性別'!D47</f>
        <v>0</v>
      </c>
    </row>
    <row r="103" spans="2:4" ht="32.25" customHeight="1">
      <c r="B103" s="143">
        <f>B48-'[3]17退伍(軍)-性別'!B48</f>
        <v>0</v>
      </c>
      <c r="C103" s="143">
        <f>C48-'[3]17退伍(軍)-性別'!C48</f>
        <v>0</v>
      </c>
      <c r="D103" s="143">
        <f>D48-'[3]17退伍(軍)-性別'!D48</f>
        <v>0</v>
      </c>
    </row>
    <row r="104" spans="2:4" ht="32.25" customHeight="1">
      <c r="B104" s="143">
        <f>B49-'[3]17退伍(軍)-性別'!B49</f>
        <v>0</v>
      </c>
      <c r="C104" s="143">
        <f>C49-'[3]17退伍(軍)-性別'!C49</f>
        <v>0</v>
      </c>
      <c r="D104" s="143">
        <f>D49-'[3]17退伍(軍)-性別'!D49</f>
        <v>0</v>
      </c>
    </row>
    <row r="105" spans="2:4" ht="32.25" customHeight="1">
      <c r="B105" s="143">
        <f>B50-'[3]17退伍(軍)-性別'!B50</f>
        <v>0</v>
      </c>
      <c r="C105" s="143">
        <f>C50-'[3]17退伍(軍)-性別'!C50</f>
        <v>0</v>
      </c>
      <c r="D105" s="143">
        <f>D50-'[3]17退伍(軍)-性別'!D50</f>
        <v>0</v>
      </c>
    </row>
    <row r="106" spans="2:4" ht="32.25" customHeight="1">
      <c r="B106" s="143">
        <f>B51-'[3]17退伍(軍)-性別'!B51</f>
        <v>0</v>
      </c>
      <c r="C106" s="143">
        <f>C51-'[3]17退伍(軍)-性別'!C51</f>
        <v>0</v>
      </c>
      <c r="D106" s="143">
        <f>D51-'[3]17退伍(軍)-性別'!D51</f>
        <v>0</v>
      </c>
    </row>
    <row r="107" spans="2:4" ht="32.25" customHeight="1">
      <c r="B107" s="143">
        <f>B52-'[3]17退伍(軍)-性別'!B52</f>
        <v>0</v>
      </c>
      <c r="C107" s="143">
        <f>C52-'[3]17退伍(軍)-性別'!C52</f>
        <v>0</v>
      </c>
      <c r="D107" s="143">
        <f>D52-'[3]17退伍(軍)-性別'!D52</f>
        <v>0</v>
      </c>
    </row>
    <row r="108" spans="2:4" ht="32.25" customHeight="1"/>
    <row r="109" spans="2:4" ht="32.25" customHeight="1"/>
    <row r="110" spans="2:4" ht="32.25" customHeight="1"/>
    <row r="111" spans="2:4" ht="32.25" customHeight="1"/>
    <row r="112" spans="2:4"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sheetData>
  <mergeCells count="5">
    <mergeCell ref="A1:D1"/>
    <mergeCell ref="A2:D2"/>
    <mergeCell ref="A3:A4"/>
    <mergeCell ref="B3:B4"/>
    <mergeCell ref="C3:D3"/>
  </mergeCells>
  <phoneticPr fontId="3" type="noConversion"/>
  <pageMargins left="0.62992125984251968" right="0" top="0.59055118110236227" bottom="0.34" header="0" footer="0"/>
  <pageSetup paperSize="9" scale="93" firstPageNumber="8" fitToHeight="2" orientation="portrait" r:id="rId1"/>
  <headerFooter alignWithMargins="0"/>
  <rowBreaks count="1" manualBreakCount="1">
    <brk id="31" max="3" man="1"/>
  </rowBreaks>
</worksheet>
</file>

<file path=xl/worksheets/sheet2.xml><?xml version="1.0" encoding="utf-8"?>
<worksheet xmlns="http://schemas.openxmlformats.org/spreadsheetml/2006/main" xmlns:r="http://schemas.openxmlformats.org/officeDocument/2006/relationships">
  <sheetPr>
    <tabColor indexed="46"/>
    <pageSetUpPr fitToPage="1"/>
  </sheetPr>
  <dimension ref="A1:Z25"/>
  <sheetViews>
    <sheetView view="pageBreakPreview" topLeftCell="I1" zoomScaleNormal="100" zoomScaleSheetLayoutView="100" workbookViewId="0">
      <pane ySplit="5" topLeftCell="A6" activePane="bottomLeft" state="frozen"/>
      <selection activeCell="E20" sqref="E20"/>
      <selection pane="bottomLeft" activeCell="E20" sqref="E20"/>
    </sheetView>
  </sheetViews>
  <sheetFormatPr defaultColWidth="8.25" defaultRowHeight="74.25" customHeight="1"/>
  <cols>
    <col min="1" max="1" width="9" style="14" customWidth="1"/>
    <col min="2" max="2" width="9.375" style="1" bestFit="1" customWidth="1"/>
    <col min="3" max="3" width="5.875" style="1" bestFit="1" customWidth="1"/>
    <col min="4" max="7" width="9.375" style="1" bestFit="1" customWidth="1"/>
    <col min="8" max="8" width="5.875" style="1" bestFit="1" customWidth="1"/>
    <col min="9" max="9" width="9.375" style="1" bestFit="1" customWidth="1"/>
    <col min="10" max="10" width="8.25" style="1" customWidth="1"/>
    <col min="11" max="11" width="9.5" style="1" bestFit="1" customWidth="1"/>
    <col min="12" max="12" width="9.375" style="1" bestFit="1" customWidth="1"/>
    <col min="13" max="13" width="5.875" style="1" customWidth="1"/>
    <col min="14" max="15" width="9.375" style="1" bestFit="1" customWidth="1"/>
    <col min="16" max="16" width="8.75" style="1" bestFit="1" customWidth="1"/>
    <col min="17" max="17" width="5.5" style="1" bestFit="1" customWidth="1"/>
    <col min="18" max="18" width="8.5" style="1" bestFit="1" customWidth="1"/>
    <col min="19" max="19" width="9.5" style="1" bestFit="1" customWidth="1"/>
    <col min="20" max="21" width="8.5" style="1" bestFit="1" customWidth="1"/>
    <col min="22" max="22" width="7.5" style="1" customWidth="1"/>
    <col min="23" max="23" width="8.5" style="1" bestFit="1" customWidth="1"/>
    <col min="24" max="24" width="5.5" style="1" bestFit="1" customWidth="1"/>
    <col min="25" max="25" width="9.625" style="1" bestFit="1" customWidth="1"/>
    <col min="26" max="16384" width="8.25" style="1"/>
  </cols>
  <sheetData>
    <row r="1" spans="1:26" s="2" customFormat="1" ht="33" customHeight="1">
      <c r="A1" s="787" t="s">
        <v>187</v>
      </c>
      <c r="B1" s="787"/>
      <c r="C1" s="787"/>
      <c r="D1" s="787"/>
      <c r="E1" s="787"/>
      <c r="F1" s="787"/>
      <c r="G1" s="787"/>
      <c r="H1" s="787"/>
      <c r="I1" s="787"/>
      <c r="J1" s="787"/>
      <c r="K1" s="787"/>
      <c r="L1" s="787"/>
      <c r="M1" s="511" t="s">
        <v>368</v>
      </c>
      <c r="N1" s="511"/>
      <c r="O1" s="511"/>
      <c r="P1" s="511"/>
      <c r="Q1" s="511"/>
      <c r="R1" s="511"/>
      <c r="S1" s="511"/>
      <c r="T1" s="511"/>
      <c r="U1" s="511"/>
      <c r="V1" s="511"/>
      <c r="W1" s="511"/>
      <c r="X1" s="511"/>
      <c r="Y1" s="511"/>
    </row>
    <row r="2" spans="1:26" s="2" customFormat="1" ht="33" customHeight="1">
      <c r="A2" s="788" t="s">
        <v>369</v>
      </c>
      <c r="B2" s="788"/>
      <c r="C2" s="788"/>
      <c r="D2" s="788"/>
      <c r="E2" s="788"/>
      <c r="F2" s="788"/>
      <c r="G2" s="788"/>
      <c r="H2" s="788"/>
      <c r="I2" s="788"/>
      <c r="J2" s="788"/>
      <c r="K2" s="788"/>
      <c r="L2" s="788"/>
      <c r="M2" s="140" t="s">
        <v>370</v>
      </c>
      <c r="N2" s="140"/>
      <c r="O2" s="140"/>
      <c r="P2" s="140"/>
      <c r="Q2" s="140"/>
      <c r="R2" s="140"/>
      <c r="S2" s="140"/>
      <c r="T2" s="140"/>
      <c r="U2" s="140"/>
      <c r="V2" s="140"/>
      <c r="W2" s="140"/>
      <c r="X2" s="140"/>
      <c r="Y2" s="517" t="s">
        <v>56</v>
      </c>
    </row>
    <row r="3" spans="1:26" ht="35.450000000000003" customHeight="1">
      <c r="A3" s="789" t="s">
        <v>48</v>
      </c>
      <c r="B3" s="781" t="s">
        <v>49</v>
      </c>
      <c r="C3" s="781"/>
      <c r="D3" s="781"/>
      <c r="E3" s="781"/>
      <c r="F3" s="782"/>
      <c r="G3" s="780" t="s">
        <v>50</v>
      </c>
      <c r="H3" s="781"/>
      <c r="I3" s="781"/>
      <c r="J3" s="781"/>
      <c r="K3" s="781"/>
      <c r="L3" s="780" t="s">
        <v>301</v>
      </c>
      <c r="M3" s="781"/>
      <c r="N3" s="781"/>
      <c r="O3" s="782"/>
      <c r="P3" s="780" t="s">
        <v>51</v>
      </c>
      <c r="Q3" s="781"/>
      <c r="R3" s="781"/>
      <c r="S3" s="782"/>
      <c r="T3" s="783" t="s">
        <v>302</v>
      </c>
      <c r="U3" s="784"/>
      <c r="V3" s="785"/>
      <c r="W3" s="780" t="s">
        <v>57</v>
      </c>
      <c r="X3" s="781"/>
      <c r="Y3" s="781"/>
    </row>
    <row r="4" spans="1:26" ht="42" customHeight="1">
      <c r="A4" s="790"/>
      <c r="B4" s="504" t="s">
        <v>58</v>
      </c>
      <c r="C4" s="513" t="s">
        <v>432</v>
      </c>
      <c r="D4" s="513" t="s">
        <v>433</v>
      </c>
      <c r="E4" s="513" t="s">
        <v>434</v>
      </c>
      <c r="F4" s="513" t="s">
        <v>59</v>
      </c>
      <c r="G4" s="514" t="s">
        <v>58</v>
      </c>
      <c r="H4" s="513" t="s">
        <v>432</v>
      </c>
      <c r="I4" s="513" t="s">
        <v>433</v>
      </c>
      <c r="J4" s="513" t="s">
        <v>434</v>
      </c>
      <c r="K4" s="502" t="s">
        <v>59</v>
      </c>
      <c r="L4" s="501" t="s">
        <v>58</v>
      </c>
      <c r="M4" s="503" t="s">
        <v>432</v>
      </c>
      <c r="N4" s="513" t="s">
        <v>433</v>
      </c>
      <c r="O4" s="513" t="s">
        <v>434</v>
      </c>
      <c r="P4" s="504" t="s">
        <v>58</v>
      </c>
      <c r="Q4" s="513" t="s">
        <v>432</v>
      </c>
      <c r="R4" s="513" t="s">
        <v>433</v>
      </c>
      <c r="S4" s="513" t="s">
        <v>434</v>
      </c>
      <c r="T4" s="504" t="s">
        <v>58</v>
      </c>
      <c r="U4" s="513" t="s">
        <v>433</v>
      </c>
      <c r="V4" s="513" t="s">
        <v>434</v>
      </c>
      <c r="W4" s="504" t="s">
        <v>58</v>
      </c>
      <c r="X4" s="513" t="s">
        <v>432</v>
      </c>
      <c r="Y4" s="502" t="s">
        <v>433</v>
      </c>
    </row>
    <row r="5" spans="1:26" s="6" customFormat="1" ht="61.15" hidden="1" customHeight="1">
      <c r="A5" s="58" t="s">
        <v>53</v>
      </c>
      <c r="B5" s="529">
        <f t="shared" ref="B5:B10" si="0">G5+L5+P5+U5+W5</f>
        <v>617113</v>
      </c>
      <c r="C5" s="529">
        <f t="shared" ref="C5:C15" si="1">H5+M5+Q5+X5</f>
        <v>313</v>
      </c>
      <c r="D5" s="529">
        <f t="shared" ref="D5:D14" si="2">I5+N5+R5+U5+Y5</f>
        <v>287965</v>
      </c>
      <c r="E5" s="529">
        <f>J5+O5+S5</f>
        <v>204744</v>
      </c>
      <c r="F5" s="529">
        <f t="shared" ref="F5:F15" si="3">K5</f>
        <v>124091</v>
      </c>
      <c r="G5" s="529">
        <f t="shared" ref="G5:G21" si="4">SUM(H5:K5)</f>
        <v>275740</v>
      </c>
      <c r="H5" s="529">
        <v>223</v>
      </c>
      <c r="I5" s="529">
        <v>111105</v>
      </c>
      <c r="J5" s="529">
        <v>40321</v>
      </c>
      <c r="K5" s="529">
        <v>124091</v>
      </c>
      <c r="L5" s="529">
        <f t="shared" ref="L5:L21" si="5">SUM(M5:O5)</f>
        <v>76187</v>
      </c>
      <c r="M5" s="529">
        <v>61</v>
      </c>
      <c r="N5" s="529">
        <v>40296</v>
      </c>
      <c r="O5" s="529">
        <v>35830</v>
      </c>
      <c r="P5" s="529">
        <f t="shared" ref="P5:P21" si="6">SUM(Q5:S5)</f>
        <v>216485</v>
      </c>
      <c r="Q5" s="529">
        <v>27</v>
      </c>
      <c r="R5" s="529">
        <v>87865</v>
      </c>
      <c r="S5" s="529">
        <v>128593</v>
      </c>
      <c r="T5" s="529"/>
      <c r="U5" s="529">
        <v>19840</v>
      </c>
      <c r="V5" s="529"/>
      <c r="W5" s="529">
        <f t="shared" ref="W5:W21" si="7">SUM(X5:Y5)</f>
        <v>28861</v>
      </c>
      <c r="X5" s="529">
        <v>2</v>
      </c>
      <c r="Y5" s="529">
        <v>28859</v>
      </c>
    </row>
    <row r="6" spans="1:26" s="6" customFormat="1" ht="61.15" hidden="1" customHeight="1">
      <c r="A6" s="58" t="s">
        <v>60</v>
      </c>
      <c r="B6" s="529">
        <f t="shared" si="0"/>
        <v>605739</v>
      </c>
      <c r="C6" s="529">
        <f t="shared" si="1"/>
        <v>0</v>
      </c>
      <c r="D6" s="529">
        <f t="shared" si="2"/>
        <v>286123</v>
      </c>
      <c r="E6" s="529">
        <f>J6+O6+S6</f>
        <v>202603</v>
      </c>
      <c r="F6" s="529">
        <f t="shared" si="3"/>
        <v>117013</v>
      </c>
      <c r="G6" s="529">
        <f t="shared" si="4"/>
        <v>269043</v>
      </c>
      <c r="H6" s="529">
        <v>0</v>
      </c>
      <c r="I6" s="529">
        <v>111731</v>
      </c>
      <c r="J6" s="529">
        <v>40299</v>
      </c>
      <c r="K6" s="529">
        <v>117013</v>
      </c>
      <c r="L6" s="529">
        <f t="shared" si="5"/>
        <v>74854</v>
      </c>
      <c r="M6" s="529">
        <v>0</v>
      </c>
      <c r="N6" s="529">
        <v>39374</v>
      </c>
      <c r="O6" s="529">
        <v>35480</v>
      </c>
      <c r="P6" s="529">
        <f t="shared" si="6"/>
        <v>214745</v>
      </c>
      <c r="Q6" s="529">
        <v>0</v>
      </c>
      <c r="R6" s="529">
        <v>87921</v>
      </c>
      <c r="S6" s="529">
        <v>126824</v>
      </c>
      <c r="T6" s="529"/>
      <c r="U6" s="529">
        <v>19788</v>
      </c>
      <c r="V6" s="529"/>
      <c r="W6" s="529">
        <f t="shared" si="7"/>
        <v>27309</v>
      </c>
      <c r="X6" s="529">
        <v>0</v>
      </c>
      <c r="Y6" s="529">
        <v>27309</v>
      </c>
    </row>
    <row r="7" spans="1:26" s="6" customFormat="1" ht="61.15" hidden="1" customHeight="1">
      <c r="A7" s="58" t="s">
        <v>54</v>
      </c>
      <c r="B7" s="529">
        <f t="shared" si="0"/>
        <v>596650</v>
      </c>
      <c r="C7" s="529">
        <f t="shared" si="1"/>
        <v>0</v>
      </c>
      <c r="D7" s="529">
        <f t="shared" si="2"/>
        <v>283387</v>
      </c>
      <c r="E7" s="529">
        <f t="shared" ref="E7:E20" si="8">J7+O7+S7+V7</f>
        <v>201536</v>
      </c>
      <c r="F7" s="529">
        <f t="shared" si="3"/>
        <v>111727</v>
      </c>
      <c r="G7" s="529">
        <f t="shared" si="4"/>
        <v>263239</v>
      </c>
      <c r="H7" s="529">
        <v>0</v>
      </c>
      <c r="I7" s="529">
        <v>111111</v>
      </c>
      <c r="J7" s="529">
        <v>40401</v>
      </c>
      <c r="K7" s="529">
        <v>111727</v>
      </c>
      <c r="L7" s="529">
        <f t="shared" si="5"/>
        <v>73719</v>
      </c>
      <c r="M7" s="529">
        <v>0</v>
      </c>
      <c r="N7" s="529">
        <v>38607</v>
      </c>
      <c r="O7" s="529">
        <v>35112</v>
      </c>
      <c r="P7" s="529">
        <f t="shared" si="6"/>
        <v>214294</v>
      </c>
      <c r="Q7" s="529">
        <v>0</v>
      </c>
      <c r="R7" s="529">
        <v>88271</v>
      </c>
      <c r="S7" s="529">
        <v>126023</v>
      </c>
      <c r="T7" s="529">
        <f>SUM(U7:V7)</f>
        <v>19503</v>
      </c>
      <c r="U7" s="529">
        <v>19503</v>
      </c>
      <c r="V7" s="529">
        <v>0</v>
      </c>
      <c r="W7" s="529">
        <f t="shared" si="7"/>
        <v>25895</v>
      </c>
      <c r="X7" s="529">
        <v>0</v>
      </c>
      <c r="Y7" s="529">
        <v>25895</v>
      </c>
    </row>
    <row r="8" spans="1:26" s="6" customFormat="1" ht="61.15" hidden="1" customHeight="1">
      <c r="A8" s="58" t="s">
        <v>8</v>
      </c>
      <c r="B8" s="80">
        <f t="shared" si="0"/>
        <v>590888</v>
      </c>
      <c r="C8" s="529">
        <f t="shared" si="1"/>
        <v>0</v>
      </c>
      <c r="D8" s="529">
        <f t="shared" si="2"/>
        <v>282097</v>
      </c>
      <c r="E8" s="529">
        <f t="shared" si="8"/>
        <v>201187</v>
      </c>
      <c r="F8" s="529">
        <f t="shared" si="3"/>
        <v>107604</v>
      </c>
      <c r="G8" s="529">
        <f t="shared" si="4"/>
        <v>258655</v>
      </c>
      <c r="H8" s="529">
        <v>0</v>
      </c>
      <c r="I8" s="529">
        <v>110447</v>
      </c>
      <c r="J8" s="529">
        <v>40604</v>
      </c>
      <c r="K8" s="529">
        <v>107604</v>
      </c>
      <c r="L8" s="529">
        <f t="shared" si="5"/>
        <v>72842</v>
      </c>
      <c r="M8" s="529">
        <v>0</v>
      </c>
      <c r="N8" s="529">
        <v>38211</v>
      </c>
      <c r="O8" s="529">
        <v>34631</v>
      </c>
      <c r="P8" s="529">
        <f t="shared" si="6"/>
        <v>215487</v>
      </c>
      <c r="Q8" s="529">
        <v>0</v>
      </c>
      <c r="R8" s="529">
        <v>89535</v>
      </c>
      <c r="S8" s="529">
        <v>125952</v>
      </c>
      <c r="T8" s="529">
        <f t="shared" ref="T8:T21" si="9">SUM(U8:V8)</f>
        <v>19116</v>
      </c>
      <c r="U8" s="529">
        <v>19116</v>
      </c>
      <c r="V8" s="529">
        <v>0</v>
      </c>
      <c r="W8" s="529">
        <f t="shared" si="7"/>
        <v>24788</v>
      </c>
      <c r="X8" s="529">
        <v>0</v>
      </c>
      <c r="Y8" s="529">
        <v>24788</v>
      </c>
    </row>
    <row r="9" spans="1:26" s="6" customFormat="1" ht="61.15" hidden="1" customHeight="1">
      <c r="A9" s="58" t="s">
        <v>0</v>
      </c>
      <c r="B9" s="80">
        <f t="shared" si="0"/>
        <v>603034</v>
      </c>
      <c r="C9" s="529">
        <f t="shared" si="1"/>
        <v>0</v>
      </c>
      <c r="D9" s="529">
        <f t="shared" si="2"/>
        <v>283376</v>
      </c>
      <c r="E9" s="529">
        <f t="shared" si="8"/>
        <v>201097</v>
      </c>
      <c r="F9" s="529">
        <f t="shared" si="3"/>
        <v>118561</v>
      </c>
      <c r="G9" s="529">
        <f t="shared" si="4"/>
        <v>271187</v>
      </c>
      <c r="H9" s="529">
        <v>0</v>
      </c>
      <c r="I9" s="529">
        <v>111620</v>
      </c>
      <c r="J9" s="529">
        <v>41006</v>
      </c>
      <c r="K9" s="529">
        <v>118561</v>
      </c>
      <c r="L9" s="529">
        <f t="shared" si="5"/>
        <v>72295</v>
      </c>
      <c r="M9" s="529">
        <v>0</v>
      </c>
      <c r="N9" s="529">
        <v>38025</v>
      </c>
      <c r="O9" s="529">
        <v>34270</v>
      </c>
      <c r="P9" s="529">
        <f t="shared" si="6"/>
        <v>216415</v>
      </c>
      <c r="Q9" s="529">
        <v>0</v>
      </c>
      <c r="R9" s="529">
        <v>90594</v>
      </c>
      <c r="S9" s="529">
        <v>125821</v>
      </c>
      <c r="T9" s="529">
        <f t="shared" si="9"/>
        <v>18881</v>
      </c>
      <c r="U9" s="529">
        <v>18881</v>
      </c>
      <c r="V9" s="529">
        <v>0</v>
      </c>
      <c r="W9" s="529">
        <f t="shared" si="7"/>
        <v>24256</v>
      </c>
      <c r="X9" s="529">
        <v>0</v>
      </c>
      <c r="Y9" s="529">
        <v>24256</v>
      </c>
    </row>
    <row r="10" spans="1:26" s="6" customFormat="1" ht="69" hidden="1" customHeight="1">
      <c r="A10" s="58" t="s">
        <v>1</v>
      </c>
      <c r="B10" s="529">
        <f t="shared" si="0"/>
        <v>612755</v>
      </c>
      <c r="C10" s="529">
        <f t="shared" si="1"/>
        <v>0</v>
      </c>
      <c r="D10" s="529">
        <f t="shared" si="2"/>
        <v>287824</v>
      </c>
      <c r="E10" s="529">
        <f t="shared" si="8"/>
        <v>200317</v>
      </c>
      <c r="F10" s="529">
        <f t="shared" si="3"/>
        <v>124614</v>
      </c>
      <c r="G10" s="529">
        <f t="shared" si="4"/>
        <v>278837</v>
      </c>
      <c r="H10" s="529">
        <v>0</v>
      </c>
      <c r="I10" s="529">
        <v>113054</v>
      </c>
      <c r="J10" s="529">
        <v>41169</v>
      </c>
      <c r="K10" s="529">
        <v>124614</v>
      </c>
      <c r="L10" s="529">
        <f t="shared" si="5"/>
        <v>73328</v>
      </c>
      <c r="M10" s="529">
        <v>0</v>
      </c>
      <c r="N10" s="529">
        <v>39565</v>
      </c>
      <c r="O10" s="529">
        <v>33763</v>
      </c>
      <c r="P10" s="529">
        <f t="shared" si="6"/>
        <v>217386</v>
      </c>
      <c r="Q10" s="529">
        <v>0</v>
      </c>
      <c r="R10" s="529">
        <v>92001</v>
      </c>
      <c r="S10" s="529">
        <v>125385</v>
      </c>
      <c r="T10" s="529">
        <f t="shared" si="9"/>
        <v>18803</v>
      </c>
      <c r="U10" s="529">
        <v>18803</v>
      </c>
      <c r="V10" s="529">
        <v>0</v>
      </c>
      <c r="W10" s="529">
        <f t="shared" si="7"/>
        <v>24401</v>
      </c>
      <c r="X10" s="529">
        <v>0</v>
      </c>
      <c r="Y10" s="529">
        <v>24401</v>
      </c>
    </row>
    <row r="11" spans="1:26" s="6" customFormat="1" ht="69" hidden="1" customHeight="1">
      <c r="A11" s="58" t="s">
        <v>2</v>
      </c>
      <c r="B11" s="529">
        <f>G11+L11+P11+T11+W11</f>
        <v>629903</v>
      </c>
      <c r="C11" s="529">
        <f t="shared" si="1"/>
        <v>0</v>
      </c>
      <c r="D11" s="529">
        <f t="shared" si="2"/>
        <v>291581</v>
      </c>
      <c r="E11" s="529">
        <f t="shared" si="8"/>
        <v>199007</v>
      </c>
      <c r="F11" s="529">
        <f t="shared" si="3"/>
        <v>139315</v>
      </c>
      <c r="G11" s="529">
        <f t="shared" si="4"/>
        <v>295436</v>
      </c>
      <c r="H11" s="529">
        <v>0</v>
      </c>
      <c r="I11" s="529">
        <v>114812</v>
      </c>
      <c r="J11" s="529">
        <v>41309</v>
      </c>
      <c r="K11" s="529">
        <v>139315</v>
      </c>
      <c r="L11" s="529">
        <f t="shared" si="5"/>
        <v>73356</v>
      </c>
      <c r="M11" s="529">
        <v>0</v>
      </c>
      <c r="N11" s="529">
        <v>40099</v>
      </c>
      <c r="O11" s="529">
        <v>33257</v>
      </c>
      <c r="P11" s="529">
        <f t="shared" si="6"/>
        <v>218747</v>
      </c>
      <c r="Q11" s="529">
        <v>0</v>
      </c>
      <c r="R11" s="529">
        <v>94306</v>
      </c>
      <c r="S11" s="529">
        <v>124441</v>
      </c>
      <c r="T11" s="529">
        <f t="shared" si="9"/>
        <v>18781</v>
      </c>
      <c r="U11" s="529">
        <v>18781</v>
      </c>
      <c r="V11" s="529">
        <v>0</v>
      </c>
      <c r="W11" s="529">
        <f t="shared" si="7"/>
        <v>23583</v>
      </c>
      <c r="X11" s="529">
        <v>0</v>
      </c>
      <c r="Y11" s="529">
        <v>23583</v>
      </c>
      <c r="Z11" s="37"/>
    </row>
    <row r="12" spans="1:26" s="6" customFormat="1" ht="69" customHeight="1">
      <c r="A12" s="58" t="s">
        <v>3</v>
      </c>
      <c r="B12" s="529">
        <f t="shared" ref="B12:B21" si="10">G12+L12+P12+T12+W12</f>
        <v>640082</v>
      </c>
      <c r="C12" s="529">
        <f t="shared" si="1"/>
        <v>0</v>
      </c>
      <c r="D12" s="529">
        <f t="shared" si="2"/>
        <v>293861</v>
      </c>
      <c r="E12" s="529">
        <f t="shared" si="8"/>
        <v>196840</v>
      </c>
      <c r="F12" s="529">
        <f t="shared" si="3"/>
        <v>149381</v>
      </c>
      <c r="G12" s="529">
        <f t="shared" si="4"/>
        <v>306813</v>
      </c>
      <c r="H12" s="529">
        <v>0</v>
      </c>
      <c r="I12" s="529">
        <v>116150</v>
      </c>
      <c r="J12" s="529">
        <v>41282</v>
      </c>
      <c r="K12" s="529">
        <v>149381</v>
      </c>
      <c r="L12" s="529">
        <f t="shared" si="5"/>
        <v>164534</v>
      </c>
      <c r="M12" s="529">
        <v>0</v>
      </c>
      <c r="N12" s="529">
        <v>81069</v>
      </c>
      <c r="O12" s="529">
        <v>83465</v>
      </c>
      <c r="P12" s="529">
        <f t="shared" si="6"/>
        <v>132181</v>
      </c>
      <c r="Q12" s="529">
        <v>0</v>
      </c>
      <c r="R12" s="529">
        <v>60088</v>
      </c>
      <c r="S12" s="529">
        <v>72093</v>
      </c>
      <c r="T12" s="529">
        <f>SUM(U12:V12)</f>
        <v>13242</v>
      </c>
      <c r="U12" s="529">
        <v>13242</v>
      </c>
      <c r="V12" s="529">
        <v>0</v>
      </c>
      <c r="W12" s="529">
        <f t="shared" si="7"/>
        <v>23312</v>
      </c>
      <c r="X12" s="529">
        <v>0</v>
      </c>
      <c r="Y12" s="529">
        <v>23312</v>
      </c>
      <c r="Z12" s="37"/>
    </row>
    <row r="13" spans="1:26" s="6" customFormat="1" ht="69" customHeight="1">
      <c r="A13" s="58" t="s">
        <v>4</v>
      </c>
      <c r="B13" s="529">
        <f t="shared" si="10"/>
        <v>631690</v>
      </c>
      <c r="C13" s="529">
        <f t="shared" si="1"/>
        <v>0</v>
      </c>
      <c r="D13" s="529">
        <f t="shared" si="2"/>
        <v>291487</v>
      </c>
      <c r="E13" s="529">
        <f t="shared" si="8"/>
        <v>194064</v>
      </c>
      <c r="F13" s="529">
        <f t="shared" si="3"/>
        <v>146139</v>
      </c>
      <c r="G13" s="529">
        <f t="shared" si="4"/>
        <v>301688</v>
      </c>
      <c r="H13" s="529">
        <v>0</v>
      </c>
      <c r="I13" s="529">
        <v>114412</v>
      </c>
      <c r="J13" s="529">
        <v>41137</v>
      </c>
      <c r="K13" s="529">
        <v>146139</v>
      </c>
      <c r="L13" s="529">
        <f t="shared" si="5"/>
        <v>179498</v>
      </c>
      <c r="M13" s="529">
        <v>0</v>
      </c>
      <c r="N13" s="529">
        <v>89497</v>
      </c>
      <c r="O13" s="529">
        <v>90001</v>
      </c>
      <c r="P13" s="529">
        <f t="shared" si="6"/>
        <v>116180</v>
      </c>
      <c r="Q13" s="529">
        <v>0</v>
      </c>
      <c r="R13" s="529">
        <v>53254</v>
      </c>
      <c r="S13" s="529">
        <v>62926</v>
      </c>
      <c r="T13" s="529">
        <f t="shared" si="9"/>
        <v>11464</v>
      </c>
      <c r="U13" s="529">
        <v>11464</v>
      </c>
      <c r="V13" s="529">
        <v>0</v>
      </c>
      <c r="W13" s="529">
        <f t="shared" si="7"/>
        <v>22860</v>
      </c>
      <c r="X13" s="529">
        <v>0</v>
      </c>
      <c r="Y13" s="529">
        <v>22860</v>
      </c>
      <c r="Z13" s="37"/>
    </row>
    <row r="14" spans="1:26" s="6" customFormat="1" ht="69" customHeight="1">
      <c r="A14" s="58" t="s">
        <v>5</v>
      </c>
      <c r="B14" s="529">
        <f t="shared" si="10"/>
        <v>627163</v>
      </c>
      <c r="C14" s="529">
        <f t="shared" si="1"/>
        <v>0</v>
      </c>
      <c r="D14" s="529">
        <f t="shared" si="2"/>
        <v>292326</v>
      </c>
      <c r="E14" s="529">
        <f t="shared" si="8"/>
        <v>193083</v>
      </c>
      <c r="F14" s="529">
        <f t="shared" si="3"/>
        <v>141754</v>
      </c>
      <c r="G14" s="529">
        <f t="shared" si="4"/>
        <v>297118</v>
      </c>
      <c r="H14" s="529">
        <v>0</v>
      </c>
      <c r="I14" s="529">
        <v>115000</v>
      </c>
      <c r="J14" s="529">
        <v>40364</v>
      </c>
      <c r="K14" s="529">
        <v>141754</v>
      </c>
      <c r="L14" s="529">
        <f t="shared" si="5"/>
        <v>180258</v>
      </c>
      <c r="M14" s="529">
        <v>0</v>
      </c>
      <c r="N14" s="529">
        <v>90213</v>
      </c>
      <c r="O14" s="529">
        <v>90045</v>
      </c>
      <c r="P14" s="529">
        <f t="shared" si="6"/>
        <v>116228</v>
      </c>
      <c r="Q14" s="529">
        <v>0</v>
      </c>
      <c r="R14" s="529">
        <v>53554</v>
      </c>
      <c r="S14" s="529">
        <v>62674</v>
      </c>
      <c r="T14" s="529">
        <f t="shared" si="9"/>
        <v>11426</v>
      </c>
      <c r="U14" s="529">
        <v>11426</v>
      </c>
      <c r="V14" s="529">
        <v>0</v>
      </c>
      <c r="W14" s="529">
        <f t="shared" si="7"/>
        <v>22133</v>
      </c>
      <c r="X14" s="529">
        <v>0</v>
      </c>
      <c r="Y14" s="529">
        <v>22133</v>
      </c>
      <c r="Z14" s="37"/>
    </row>
    <row r="15" spans="1:26" s="6" customFormat="1" ht="69" customHeight="1">
      <c r="A15" s="58" t="s">
        <v>6</v>
      </c>
      <c r="B15" s="529">
        <f t="shared" si="10"/>
        <v>622197</v>
      </c>
      <c r="C15" s="529">
        <f t="shared" si="1"/>
        <v>0</v>
      </c>
      <c r="D15" s="529">
        <f>I15+N15+R15+U15+Y15</f>
        <v>293535</v>
      </c>
      <c r="E15" s="529">
        <f t="shared" si="8"/>
        <v>192275</v>
      </c>
      <c r="F15" s="529">
        <f t="shared" si="3"/>
        <v>136387</v>
      </c>
      <c r="G15" s="529">
        <f t="shared" si="4"/>
        <v>290899</v>
      </c>
      <c r="H15" s="529">
        <v>0</v>
      </c>
      <c r="I15" s="529">
        <v>115110</v>
      </c>
      <c r="J15" s="529">
        <v>39402</v>
      </c>
      <c r="K15" s="529">
        <v>136387</v>
      </c>
      <c r="L15" s="529">
        <f t="shared" si="5"/>
        <v>181474</v>
      </c>
      <c r="M15" s="529">
        <v>0</v>
      </c>
      <c r="N15" s="529">
        <v>91183</v>
      </c>
      <c r="O15" s="529">
        <v>90291</v>
      </c>
      <c r="P15" s="529">
        <f t="shared" si="6"/>
        <v>116537</v>
      </c>
      <c r="Q15" s="529">
        <v>0</v>
      </c>
      <c r="R15" s="529">
        <v>53955</v>
      </c>
      <c r="S15" s="529">
        <v>62582</v>
      </c>
      <c r="T15" s="529">
        <f t="shared" si="9"/>
        <v>11357</v>
      </c>
      <c r="U15" s="529">
        <v>11357</v>
      </c>
      <c r="V15" s="529">
        <v>0</v>
      </c>
      <c r="W15" s="529">
        <f t="shared" si="7"/>
        <v>21930</v>
      </c>
      <c r="X15" s="529">
        <v>0</v>
      </c>
      <c r="Y15" s="529">
        <v>21930</v>
      </c>
      <c r="Z15" s="37"/>
    </row>
    <row r="16" spans="1:26" s="6" customFormat="1" ht="69" customHeight="1">
      <c r="A16" s="58" t="s">
        <v>7</v>
      </c>
      <c r="B16" s="529">
        <f t="shared" si="10"/>
        <v>624993</v>
      </c>
      <c r="C16" s="529">
        <f>H16+M16+Q16+X16</f>
        <v>0</v>
      </c>
      <c r="D16" s="529">
        <f>I16+N16+R16+U16+Y16</f>
        <v>289833</v>
      </c>
      <c r="E16" s="529">
        <f t="shared" si="8"/>
        <v>191541</v>
      </c>
      <c r="F16" s="529">
        <f>K16</f>
        <v>143619</v>
      </c>
      <c r="G16" s="529">
        <f>SUM(H16:K16)</f>
        <v>297737</v>
      </c>
      <c r="H16" s="529">
        <v>0</v>
      </c>
      <c r="I16" s="529">
        <v>114954</v>
      </c>
      <c r="J16" s="529">
        <v>39164</v>
      </c>
      <c r="K16" s="529">
        <v>143619</v>
      </c>
      <c r="L16" s="529">
        <f>SUM(M16:O16)</f>
        <v>180572</v>
      </c>
      <c r="M16" s="529">
        <v>0</v>
      </c>
      <c r="N16" s="529">
        <f>91411-1386</f>
        <v>90025</v>
      </c>
      <c r="O16" s="529">
        <f>95818-5271</f>
        <v>90547</v>
      </c>
      <c r="P16" s="529">
        <f>SUM(Q16:S16)</f>
        <v>114361</v>
      </c>
      <c r="Q16" s="529">
        <v>0</v>
      </c>
      <c r="R16" s="529">
        <f>51240+1292</f>
        <v>52532</v>
      </c>
      <c r="S16" s="529">
        <f>56558+5271</f>
        <v>61829</v>
      </c>
      <c r="T16" s="529">
        <f t="shared" si="9"/>
        <v>11128</v>
      </c>
      <c r="U16" s="529">
        <f>11033+94</f>
        <v>11127</v>
      </c>
      <c r="V16" s="529">
        <v>1</v>
      </c>
      <c r="W16" s="529">
        <f t="shared" si="7"/>
        <v>21195</v>
      </c>
      <c r="X16" s="529">
        <v>0</v>
      </c>
      <c r="Y16" s="529">
        <v>21195</v>
      </c>
      <c r="Z16" s="37"/>
    </row>
    <row r="17" spans="1:26" s="6" customFormat="1" ht="69" customHeight="1">
      <c r="A17" s="58" t="s">
        <v>55</v>
      </c>
      <c r="B17" s="529">
        <f t="shared" si="10"/>
        <v>629566</v>
      </c>
      <c r="C17" s="529">
        <f>H17+M17+Q17+X17</f>
        <v>0</v>
      </c>
      <c r="D17" s="529">
        <f>I17+N17+R17+U17+Y17</f>
        <v>288415</v>
      </c>
      <c r="E17" s="529">
        <f t="shared" si="8"/>
        <v>188947</v>
      </c>
      <c r="F17" s="529">
        <f>K17</f>
        <v>152204</v>
      </c>
      <c r="G17" s="529">
        <f>SUM(H17:K17)</f>
        <v>305471</v>
      </c>
      <c r="H17" s="529">
        <v>0</v>
      </c>
      <c r="I17" s="529">
        <v>114452</v>
      </c>
      <c r="J17" s="529">
        <v>38815</v>
      </c>
      <c r="K17" s="529">
        <v>152204</v>
      </c>
      <c r="L17" s="529">
        <f>SUM(M17:O17)</f>
        <v>201291</v>
      </c>
      <c r="M17" s="529">
        <v>0</v>
      </c>
      <c r="N17" s="529">
        <v>99264</v>
      </c>
      <c r="O17" s="529">
        <v>102027</v>
      </c>
      <c r="P17" s="529">
        <f>SUM(Q17:S17)</f>
        <v>92289</v>
      </c>
      <c r="Q17" s="529">
        <v>0</v>
      </c>
      <c r="R17" s="529">
        <v>44185</v>
      </c>
      <c r="S17" s="529">
        <v>48104</v>
      </c>
      <c r="T17" s="529">
        <f t="shared" si="9"/>
        <v>10030</v>
      </c>
      <c r="U17" s="529">
        <v>10029</v>
      </c>
      <c r="V17" s="529">
        <v>1</v>
      </c>
      <c r="W17" s="529">
        <f t="shared" si="7"/>
        <v>20485</v>
      </c>
      <c r="X17" s="529">
        <v>0</v>
      </c>
      <c r="Y17" s="529">
        <v>20485</v>
      </c>
      <c r="Z17" s="37"/>
    </row>
    <row r="18" spans="1:26" s="6" customFormat="1" ht="69" customHeight="1">
      <c r="A18" s="58" t="s">
        <v>232</v>
      </c>
      <c r="B18" s="529">
        <f t="shared" si="10"/>
        <v>634666</v>
      </c>
      <c r="C18" s="529">
        <f t="shared" ref="C18:C20" si="11">H18+M18+Q18+X18</f>
        <v>0</v>
      </c>
      <c r="D18" s="529">
        <f t="shared" ref="D18:D20" si="12">I18+N18+R18+U18+Y18</f>
        <v>289257</v>
      </c>
      <c r="E18" s="529">
        <f t="shared" si="8"/>
        <v>185810</v>
      </c>
      <c r="F18" s="529">
        <f t="shared" ref="F18:F20" si="13">K18</f>
        <v>159599</v>
      </c>
      <c r="G18" s="529">
        <f t="shared" ref="G18:G20" si="14">SUM(H18:K18)</f>
        <v>312016</v>
      </c>
      <c r="H18" s="529">
        <v>0</v>
      </c>
      <c r="I18" s="529">
        <v>114508</v>
      </c>
      <c r="J18" s="529">
        <v>37909</v>
      </c>
      <c r="K18" s="529">
        <v>159599</v>
      </c>
      <c r="L18" s="529">
        <f t="shared" ref="L18:L20" si="15">SUM(M18:O18)</f>
        <v>201251</v>
      </c>
      <c r="M18" s="529">
        <v>0</v>
      </c>
      <c r="N18" s="529">
        <v>100181</v>
      </c>
      <c r="O18" s="529">
        <v>101070</v>
      </c>
      <c r="P18" s="529">
        <f t="shared" ref="P18:P20" si="16">SUM(Q18:S18)</f>
        <v>91230</v>
      </c>
      <c r="Q18" s="529">
        <v>0</v>
      </c>
      <c r="R18" s="529">
        <v>44400</v>
      </c>
      <c r="S18" s="529">
        <v>46830</v>
      </c>
      <c r="T18" s="529">
        <f t="shared" si="9"/>
        <v>9963</v>
      </c>
      <c r="U18" s="529">
        <v>9962</v>
      </c>
      <c r="V18" s="529">
        <v>1</v>
      </c>
      <c r="W18" s="529">
        <f t="shared" si="7"/>
        <v>20206</v>
      </c>
      <c r="X18" s="529">
        <v>0</v>
      </c>
      <c r="Y18" s="529">
        <v>20206</v>
      </c>
      <c r="Z18" s="37"/>
    </row>
    <row r="19" spans="1:26" s="6" customFormat="1" ht="69" customHeight="1">
      <c r="A19" s="58" t="s">
        <v>98</v>
      </c>
      <c r="B19" s="529">
        <f t="shared" si="10"/>
        <v>639412</v>
      </c>
      <c r="C19" s="529">
        <f t="shared" si="11"/>
        <v>0</v>
      </c>
      <c r="D19" s="529">
        <f t="shared" si="12"/>
        <v>293829</v>
      </c>
      <c r="E19" s="529">
        <f t="shared" si="8"/>
        <v>183372</v>
      </c>
      <c r="F19" s="529">
        <f t="shared" si="13"/>
        <v>162211</v>
      </c>
      <c r="G19" s="529">
        <f t="shared" si="14"/>
        <v>313319</v>
      </c>
      <c r="H19" s="529">
        <v>0</v>
      </c>
      <c r="I19" s="529">
        <v>115176</v>
      </c>
      <c r="J19" s="529">
        <v>35932</v>
      </c>
      <c r="K19" s="529">
        <v>162211</v>
      </c>
      <c r="L19" s="529">
        <f t="shared" si="15"/>
        <v>204481</v>
      </c>
      <c r="M19" s="529">
        <v>0</v>
      </c>
      <c r="N19" s="529">
        <v>102835</v>
      </c>
      <c r="O19" s="529">
        <v>101646</v>
      </c>
      <c r="P19" s="529">
        <f t="shared" si="16"/>
        <v>91245</v>
      </c>
      <c r="Q19" s="529">
        <v>0</v>
      </c>
      <c r="R19" s="529">
        <v>45452</v>
      </c>
      <c r="S19" s="529">
        <v>45793</v>
      </c>
      <c r="T19" s="529">
        <f t="shared" si="9"/>
        <v>9978</v>
      </c>
      <c r="U19" s="529">
        <v>9977</v>
      </c>
      <c r="V19" s="529">
        <v>1</v>
      </c>
      <c r="W19" s="529">
        <f t="shared" si="7"/>
        <v>20389</v>
      </c>
      <c r="X19" s="529">
        <v>0</v>
      </c>
      <c r="Y19" s="529">
        <v>20389</v>
      </c>
      <c r="Z19" s="37"/>
    </row>
    <row r="20" spans="1:26" s="6" customFormat="1" ht="69" customHeight="1">
      <c r="A20" s="58" t="s">
        <v>189</v>
      </c>
      <c r="B20" s="529">
        <f t="shared" si="10"/>
        <v>651186</v>
      </c>
      <c r="C20" s="529">
        <f t="shared" si="11"/>
        <v>0</v>
      </c>
      <c r="D20" s="529">
        <f t="shared" si="12"/>
        <v>297704</v>
      </c>
      <c r="E20" s="529">
        <f t="shared" si="8"/>
        <v>182664</v>
      </c>
      <c r="F20" s="529">
        <f t="shared" si="13"/>
        <v>170818</v>
      </c>
      <c r="G20" s="529">
        <f t="shared" si="14"/>
        <v>321579</v>
      </c>
      <c r="H20" s="529">
        <v>0</v>
      </c>
      <c r="I20" s="529">
        <v>115594</v>
      </c>
      <c r="J20" s="529">
        <v>35167</v>
      </c>
      <c r="K20" s="529">
        <v>170818</v>
      </c>
      <c r="L20" s="529">
        <f t="shared" si="15"/>
        <v>206909</v>
      </c>
      <c r="M20" s="529">
        <v>0</v>
      </c>
      <c r="N20" s="529">
        <v>104820</v>
      </c>
      <c r="O20" s="529">
        <v>102089</v>
      </c>
      <c r="P20" s="529">
        <f t="shared" si="16"/>
        <v>92006</v>
      </c>
      <c r="Q20" s="529">
        <v>0</v>
      </c>
      <c r="R20" s="529">
        <v>46599</v>
      </c>
      <c r="S20" s="529">
        <v>45407</v>
      </c>
      <c r="T20" s="529">
        <f t="shared" si="9"/>
        <v>9837</v>
      </c>
      <c r="U20" s="529">
        <v>9836</v>
      </c>
      <c r="V20" s="529">
        <v>1</v>
      </c>
      <c r="W20" s="529">
        <f t="shared" si="7"/>
        <v>20855</v>
      </c>
      <c r="X20" s="529">
        <v>0</v>
      </c>
      <c r="Y20" s="529">
        <v>20855</v>
      </c>
      <c r="Z20" s="37"/>
    </row>
    <row r="21" spans="1:26" s="6" customFormat="1" ht="69" customHeight="1">
      <c r="A21" s="505" t="s">
        <v>367</v>
      </c>
      <c r="B21" s="81">
        <f t="shared" si="10"/>
        <v>663550</v>
      </c>
      <c r="C21" s="81">
        <v>0</v>
      </c>
      <c r="D21" s="81">
        <v>302684</v>
      </c>
      <c r="E21" s="81">
        <v>182365</v>
      </c>
      <c r="F21" s="81">
        <v>178501</v>
      </c>
      <c r="G21" s="81">
        <f t="shared" si="4"/>
        <v>330613</v>
      </c>
      <c r="H21" s="81">
        <v>0</v>
      </c>
      <c r="I21" s="81">
        <v>116994</v>
      </c>
      <c r="J21" s="81">
        <v>35118</v>
      </c>
      <c r="K21" s="81">
        <v>178501</v>
      </c>
      <c r="L21" s="81">
        <f t="shared" si="5"/>
        <v>208944</v>
      </c>
      <c r="M21" s="81">
        <v>0</v>
      </c>
      <c r="N21" s="81">
        <v>106683</v>
      </c>
      <c r="O21" s="81">
        <v>102261</v>
      </c>
      <c r="P21" s="81">
        <f t="shared" si="6"/>
        <v>92493</v>
      </c>
      <c r="Q21" s="81">
        <v>0</v>
      </c>
      <c r="R21" s="81">
        <v>47508</v>
      </c>
      <c r="S21" s="81">
        <v>44985</v>
      </c>
      <c r="T21" s="81">
        <f t="shared" si="9"/>
        <v>9886</v>
      </c>
      <c r="U21" s="81">
        <v>9885</v>
      </c>
      <c r="V21" s="81">
        <v>1</v>
      </c>
      <c r="W21" s="81">
        <f t="shared" si="7"/>
        <v>21614</v>
      </c>
      <c r="X21" s="81">
        <v>0</v>
      </c>
      <c r="Y21" s="81">
        <v>21614</v>
      </c>
      <c r="Z21" s="37"/>
    </row>
    <row r="22" spans="1:26" ht="22.7" customHeight="1">
      <c r="A22" s="61" t="s">
        <v>423</v>
      </c>
      <c r="B22" s="93">
        <f>SUM(B12:Y20)-SUM('[2]2人數-OK'!$B$12:$Y$20)</f>
        <v>0</v>
      </c>
      <c r="C22" s="512"/>
      <c r="D22" s="512"/>
      <c r="E22" s="512"/>
      <c r="F22" s="512"/>
      <c r="G22" s="512"/>
      <c r="H22" s="512"/>
      <c r="I22" s="512"/>
      <c r="J22" s="512"/>
      <c r="K22" s="512"/>
      <c r="L22" s="12"/>
    </row>
    <row r="23" spans="1:26" ht="21.2" hidden="1" customHeight="1">
      <c r="A23" s="786"/>
      <c r="B23" s="786"/>
      <c r="C23" s="786"/>
      <c r="D23" s="786"/>
      <c r="E23" s="786"/>
      <c r="F23" s="786"/>
      <c r="G23" s="786"/>
      <c r="H23" s="786"/>
      <c r="I23" s="786"/>
      <c r="J23" s="786"/>
      <c r="K23" s="786"/>
      <c r="L23" s="82"/>
    </row>
    <row r="24" spans="1:26" s="12" customFormat="1" ht="21.2" customHeight="1"/>
    <row r="25" spans="1:26" ht="25.5" customHeight="1">
      <c r="A25" s="12"/>
      <c r="D25" s="83"/>
    </row>
  </sheetData>
  <mergeCells count="10">
    <mergeCell ref="P3:S3"/>
    <mergeCell ref="T3:V3"/>
    <mergeCell ref="W3:Y3"/>
    <mergeCell ref="A23:K23"/>
    <mergeCell ref="A1:L1"/>
    <mergeCell ref="A2:L2"/>
    <mergeCell ref="A3:A4"/>
    <mergeCell ref="B3:F3"/>
    <mergeCell ref="G3:K3"/>
    <mergeCell ref="L3:O3"/>
  </mergeCells>
  <phoneticPr fontId="3" type="noConversion"/>
  <pageMargins left="0.31" right="0.32" top="0.59055118110236227" bottom="0.78740157480314965" header="0.16" footer="0"/>
  <pageSetup paperSize="9" scale="91" fitToWidth="2"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90" zoomScaleNormal="100" zoomScaleSheetLayoutView="90"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9.125" style="26" customWidth="1"/>
    <col min="2" max="3" width="8.875" style="1" customWidth="1"/>
    <col min="4" max="4" width="10.875" style="1" customWidth="1"/>
    <col min="5" max="5" width="22.875" style="1" customWidth="1"/>
    <col min="6" max="6" width="8.875" style="1" customWidth="1"/>
    <col min="7" max="7" width="10.375" style="1" customWidth="1"/>
    <col min="8" max="8" width="24.875" style="1" customWidth="1"/>
    <col min="9" max="16384" width="9" style="15"/>
  </cols>
  <sheetData>
    <row r="1" spans="1:16" ht="33" customHeight="1">
      <c r="A1" s="778" t="s">
        <v>207</v>
      </c>
      <c r="B1" s="778"/>
      <c r="C1" s="778"/>
      <c r="D1" s="778"/>
      <c r="E1" s="778"/>
      <c r="F1" s="778"/>
      <c r="G1" s="778"/>
      <c r="H1" s="778"/>
    </row>
    <row r="2" spans="1:16" ht="33" customHeight="1">
      <c r="A2" s="792" t="s">
        <v>407</v>
      </c>
      <c r="B2" s="792"/>
      <c r="C2" s="792"/>
      <c r="D2" s="792"/>
      <c r="E2" s="792"/>
      <c r="F2" s="863"/>
      <c r="G2" s="863"/>
      <c r="H2" s="50" t="s">
        <v>56</v>
      </c>
    </row>
    <row r="3" spans="1:16" ht="34.5" customHeight="1">
      <c r="A3" s="800" t="s">
        <v>48</v>
      </c>
      <c r="B3" s="865" t="s">
        <v>49</v>
      </c>
      <c r="C3" s="867" t="s">
        <v>197</v>
      </c>
      <c r="D3" s="806"/>
      <c r="E3" s="806"/>
      <c r="F3" s="867" t="s">
        <v>198</v>
      </c>
      <c r="G3" s="806"/>
      <c r="H3" s="806"/>
    </row>
    <row r="4" spans="1:16" ht="45" customHeight="1">
      <c r="A4" s="864"/>
      <c r="B4" s="866"/>
      <c r="C4" s="515" t="s">
        <v>58</v>
      </c>
      <c r="D4" s="515" t="s">
        <v>83</v>
      </c>
      <c r="E4" s="681" t="s">
        <v>992</v>
      </c>
      <c r="F4" s="17" t="s">
        <v>58</v>
      </c>
      <c r="G4" s="17" t="s">
        <v>83</v>
      </c>
      <c r="H4" s="682" t="s">
        <v>993</v>
      </c>
      <c r="J4" s="2" t="s">
        <v>1023</v>
      </c>
    </row>
    <row r="5" spans="1:16" ht="55.35" customHeight="1">
      <c r="A5" s="51" t="s">
        <v>49</v>
      </c>
      <c r="B5" s="5">
        <f t="shared" ref="B5:B17" si="0">C5+F5</f>
        <v>382</v>
      </c>
      <c r="C5" s="5">
        <f>SUM(D5:E5)</f>
        <v>352</v>
      </c>
      <c r="D5" s="5">
        <f>SUM(D8:D17)</f>
        <v>80</v>
      </c>
      <c r="E5" s="5">
        <f>SUM(E8:E17)</f>
        <v>272</v>
      </c>
      <c r="F5" s="5">
        <f>SUM(G5:H5)</f>
        <v>30</v>
      </c>
      <c r="G5" s="5">
        <f>SUM(G8:G17)</f>
        <v>1</v>
      </c>
      <c r="H5" s="5">
        <f>SUM(H8:H17)</f>
        <v>29</v>
      </c>
      <c r="I5" s="118">
        <f>B5-'4歷年撫卹-OK'!B16</f>
        <v>0</v>
      </c>
      <c r="J5" s="118">
        <f>SUM(B6:B7)-B5</f>
        <v>0</v>
      </c>
      <c r="K5" s="118">
        <f t="shared" ref="K5:P5" si="1">SUM(C6:C7)-C5</f>
        <v>0</v>
      </c>
      <c r="L5" s="118">
        <f t="shared" si="1"/>
        <v>0</v>
      </c>
      <c r="M5" s="118">
        <f t="shared" si="1"/>
        <v>0</v>
      </c>
      <c r="N5" s="118">
        <f t="shared" si="1"/>
        <v>0</v>
      </c>
      <c r="O5" s="118">
        <f t="shared" si="1"/>
        <v>0</v>
      </c>
      <c r="P5" s="118">
        <f t="shared" si="1"/>
        <v>0</v>
      </c>
    </row>
    <row r="6" spans="1:16" s="150" customFormat="1" ht="55.35" customHeight="1">
      <c r="A6" s="173" t="s">
        <v>399</v>
      </c>
      <c r="B6" s="5">
        <f t="shared" si="0"/>
        <v>273</v>
      </c>
      <c r="C6" s="5">
        <f t="shared" ref="C6:C17" si="2">SUM(D6:E6)</f>
        <v>247</v>
      </c>
      <c r="D6" s="5">
        <f>'19撫卹(政)-性別'!D6+'20撫卹(公)-性別'!D6+'21撫卹(教)-性別'!D6+'22撫卹(軍)-性別'!D6</f>
        <v>47</v>
      </c>
      <c r="E6" s="5">
        <f>'19撫卹(政)-性別'!E6+'20撫卹(公)-性別'!E6+'21撫卹(教)-性別'!E6+'22撫卹(軍)-性別'!E6</f>
        <v>200</v>
      </c>
      <c r="F6" s="5">
        <f t="shared" ref="F6:F17" si="3">SUM(G6:H6)</f>
        <v>26</v>
      </c>
      <c r="G6" s="5">
        <f>'19撫卹(政)-性別'!G6+'20撫卹(公)-性別'!G6+'21撫卹(教)-性別'!G6+'22撫卹(軍)-性別'!G6</f>
        <v>1</v>
      </c>
      <c r="H6" s="5">
        <f>'19撫卹(政)-性別'!H6+'20撫卹(公)-性別'!H6+'21撫卹(教)-性別'!H6+'22撫卹(軍)-性別'!H6</f>
        <v>25</v>
      </c>
      <c r="I6" s="30"/>
      <c r="J6" s="30"/>
      <c r="K6" s="30"/>
      <c r="L6" s="30"/>
      <c r="M6" s="30"/>
      <c r="N6" s="30"/>
      <c r="O6" s="30"/>
    </row>
    <row r="7" spans="1:16" s="150" customFormat="1" ht="55.35" customHeight="1">
      <c r="A7" s="173" t="s">
        <v>401</v>
      </c>
      <c r="B7" s="5">
        <f t="shared" si="0"/>
        <v>109</v>
      </c>
      <c r="C7" s="5">
        <f t="shared" si="2"/>
        <v>105</v>
      </c>
      <c r="D7" s="5">
        <f>'19撫卹(政)-性別'!D7+'20撫卹(公)-性別'!D7+'21撫卹(教)-性別'!D7+'22撫卹(軍)-性別'!D7</f>
        <v>33</v>
      </c>
      <c r="E7" s="5">
        <f>'19撫卹(政)-性別'!E7+'20撫卹(公)-性別'!E7+'21撫卹(教)-性別'!E7+'22撫卹(軍)-性別'!E7</f>
        <v>72</v>
      </c>
      <c r="F7" s="5">
        <f t="shared" si="3"/>
        <v>4</v>
      </c>
      <c r="G7" s="5">
        <f>'19撫卹(政)-性別'!G7+'20撫卹(公)-性別'!G7+'21撫卹(教)-性別'!G7+'22撫卹(軍)-性別'!G7</f>
        <v>0</v>
      </c>
      <c r="H7" s="5">
        <f>'19撫卹(政)-性別'!H7+'20撫卹(公)-性別'!H7+'21撫卹(教)-性別'!H7+'22撫卹(軍)-性別'!H7</f>
        <v>4</v>
      </c>
      <c r="I7" s="30"/>
      <c r="J7" s="30"/>
      <c r="K7" s="30"/>
      <c r="L7" s="30"/>
      <c r="M7" s="30"/>
      <c r="N7" s="30"/>
      <c r="O7" s="30"/>
    </row>
    <row r="8" spans="1:16" ht="55.35" customHeight="1">
      <c r="A8" s="113" t="s">
        <v>92</v>
      </c>
      <c r="B8" s="5">
        <f t="shared" si="0"/>
        <v>44</v>
      </c>
      <c r="C8" s="5">
        <f t="shared" si="2"/>
        <v>37</v>
      </c>
      <c r="D8" s="5">
        <f>'19撫卹(政)-性別'!D8+'20撫卹(公)-性別'!D8+'21撫卹(教)-性別'!D8+'22撫卹(軍)-性別'!D8</f>
        <v>2</v>
      </c>
      <c r="E8" s="5">
        <f>'19撫卹(政)-性別'!E8+'20撫卹(公)-性別'!E8+'21撫卹(教)-性別'!E8+'22撫卹(軍)-性別'!E8</f>
        <v>35</v>
      </c>
      <c r="F8" s="5">
        <f t="shared" si="3"/>
        <v>7</v>
      </c>
      <c r="G8" s="5">
        <f>'19撫卹(政)-性別'!G8+'20撫卹(公)-性別'!G8+'21撫卹(教)-性別'!G8+'22撫卹(軍)-性別'!G8</f>
        <v>0</v>
      </c>
      <c r="H8" s="5">
        <f>'19撫卹(政)-性別'!H8+'20撫卹(公)-性別'!H8+'21撫卹(教)-性別'!H8+'22撫卹(軍)-性別'!H8</f>
        <v>7</v>
      </c>
    </row>
    <row r="9" spans="1:16" ht="55.35" customHeight="1">
      <c r="A9" s="113" t="s">
        <v>93</v>
      </c>
      <c r="B9" s="5">
        <f t="shared" si="0"/>
        <v>16</v>
      </c>
      <c r="C9" s="5">
        <f t="shared" si="2"/>
        <v>14</v>
      </c>
      <c r="D9" s="5">
        <f>'19撫卹(政)-性別'!D9+'20撫卹(公)-性別'!D9+'21撫卹(教)-性別'!D9+'22撫卹(軍)-性別'!D9</f>
        <v>5</v>
      </c>
      <c r="E9" s="5">
        <f>'19撫卹(政)-性別'!E9+'20撫卹(公)-性別'!E9+'21撫卹(教)-性別'!E9+'22撫卹(軍)-性別'!E9</f>
        <v>9</v>
      </c>
      <c r="F9" s="5">
        <f t="shared" si="3"/>
        <v>2</v>
      </c>
      <c r="G9" s="5">
        <f>'19撫卹(政)-性別'!G9+'20撫卹(公)-性別'!G9+'21撫卹(教)-性別'!G9+'22撫卹(軍)-性別'!G9</f>
        <v>0</v>
      </c>
      <c r="H9" s="5">
        <f>'19撫卹(政)-性別'!H9+'20撫卹(公)-性別'!H9+'21撫卹(教)-性別'!H9+'22撫卹(軍)-性別'!H9</f>
        <v>2</v>
      </c>
    </row>
    <row r="10" spans="1:16" ht="55.35" customHeight="1">
      <c r="A10" s="113" t="s">
        <v>192</v>
      </c>
      <c r="B10" s="5">
        <f t="shared" si="0"/>
        <v>16</v>
      </c>
      <c r="C10" s="5">
        <f t="shared" si="2"/>
        <v>13</v>
      </c>
      <c r="D10" s="5">
        <f>'19撫卹(政)-性別'!D10+'20撫卹(公)-性別'!D10+'21撫卹(教)-性別'!D10+'22撫卹(軍)-性別'!D10</f>
        <v>8</v>
      </c>
      <c r="E10" s="5">
        <f>'19撫卹(政)-性別'!E10+'20撫卹(公)-性別'!E10+'21撫卹(教)-性別'!E10+'22撫卹(軍)-性別'!E10</f>
        <v>5</v>
      </c>
      <c r="F10" s="5">
        <f t="shared" si="3"/>
        <v>3</v>
      </c>
      <c r="G10" s="5">
        <f>'19撫卹(政)-性別'!G10+'20撫卹(公)-性別'!G10+'21撫卹(教)-性別'!G10+'22撫卹(軍)-性別'!G10</f>
        <v>0</v>
      </c>
      <c r="H10" s="5">
        <f>'19撫卹(政)-性別'!H10+'20撫卹(公)-性別'!H10+'21撫卹(教)-性別'!H10+'22撫卹(軍)-性別'!H10</f>
        <v>3</v>
      </c>
    </row>
    <row r="11" spans="1:16" ht="55.35" customHeight="1">
      <c r="A11" s="113" t="s">
        <v>193</v>
      </c>
      <c r="B11" s="5">
        <f t="shared" si="0"/>
        <v>32</v>
      </c>
      <c r="C11" s="5">
        <f t="shared" si="2"/>
        <v>25</v>
      </c>
      <c r="D11" s="5">
        <f>'19撫卹(政)-性別'!D11+'20撫卹(公)-性別'!D11+'21撫卹(教)-性別'!D11+'22撫卹(軍)-性別'!D11</f>
        <v>20</v>
      </c>
      <c r="E11" s="5">
        <f>'19撫卹(政)-性別'!E11+'20撫卹(公)-性別'!E11+'21撫卹(教)-性別'!E11+'22撫卹(軍)-性別'!E11</f>
        <v>5</v>
      </c>
      <c r="F11" s="5">
        <f t="shared" si="3"/>
        <v>7</v>
      </c>
      <c r="G11" s="5">
        <f>'19撫卹(政)-性別'!G11+'20撫卹(公)-性別'!G11+'21撫卹(教)-性別'!G11+'22撫卹(軍)-性別'!G11</f>
        <v>0</v>
      </c>
      <c r="H11" s="5">
        <f>'19撫卹(政)-性別'!H11+'20撫卹(公)-性別'!H11+'21撫卹(教)-性別'!H11+'22撫卹(軍)-性別'!H11</f>
        <v>7</v>
      </c>
    </row>
    <row r="12" spans="1:16" ht="55.35" customHeight="1">
      <c r="A12" s="113" t="s">
        <v>194</v>
      </c>
      <c r="B12" s="5">
        <f t="shared" si="0"/>
        <v>50</v>
      </c>
      <c r="C12" s="5">
        <f t="shared" si="2"/>
        <v>47</v>
      </c>
      <c r="D12" s="5">
        <f>'19撫卹(政)-性別'!D12+'20撫卹(公)-性別'!D12+'21撫卹(教)-性別'!D12+'22撫卹(軍)-性別'!D12</f>
        <v>17</v>
      </c>
      <c r="E12" s="5">
        <f>'19撫卹(政)-性別'!E12+'20撫卹(公)-性別'!E12+'21撫卹(教)-性別'!E12+'22撫卹(軍)-性別'!E12</f>
        <v>30</v>
      </c>
      <c r="F12" s="5">
        <f t="shared" si="3"/>
        <v>3</v>
      </c>
      <c r="G12" s="5">
        <f>'19撫卹(政)-性別'!G12+'20撫卹(公)-性別'!G12+'21撫卹(教)-性別'!G12+'22撫卹(軍)-性別'!G12</f>
        <v>0</v>
      </c>
      <c r="H12" s="5">
        <f>'19撫卹(政)-性別'!H12+'20撫卹(公)-性別'!H12+'21撫卹(教)-性別'!H12+'22撫卹(軍)-性別'!H12</f>
        <v>3</v>
      </c>
    </row>
    <row r="13" spans="1:16" ht="55.35" customHeight="1">
      <c r="A13" s="113" t="s">
        <v>208</v>
      </c>
      <c r="B13" s="5">
        <f t="shared" si="0"/>
        <v>72</v>
      </c>
      <c r="C13" s="5">
        <f t="shared" si="2"/>
        <v>71</v>
      </c>
      <c r="D13" s="5">
        <f>'19撫卹(政)-性別'!D13+'20撫卹(公)-性別'!D13+'21撫卹(教)-性別'!D13+'22撫卹(軍)-性別'!D13</f>
        <v>14</v>
      </c>
      <c r="E13" s="5">
        <f>'19撫卹(政)-性別'!E13+'20撫卹(公)-性別'!E13+'21撫卹(教)-性別'!E13+'22撫卹(軍)-性別'!E13</f>
        <v>57</v>
      </c>
      <c r="F13" s="5">
        <f t="shared" si="3"/>
        <v>1</v>
      </c>
      <c r="G13" s="5">
        <f>'19撫卹(政)-性別'!G13+'20撫卹(公)-性別'!G13+'21撫卹(教)-性別'!G13+'22撫卹(軍)-性別'!G13</f>
        <v>0</v>
      </c>
      <c r="H13" s="5">
        <f>'19撫卹(政)-性別'!H13+'20撫卹(公)-性別'!H13+'21撫卹(教)-性別'!H13+'22撫卹(軍)-性別'!H13</f>
        <v>1</v>
      </c>
    </row>
    <row r="14" spans="1:16" ht="55.35" customHeight="1">
      <c r="A14" s="113" t="s">
        <v>209</v>
      </c>
      <c r="B14" s="5">
        <f t="shared" si="0"/>
        <v>86</v>
      </c>
      <c r="C14" s="5">
        <f t="shared" si="2"/>
        <v>81</v>
      </c>
      <c r="D14" s="5">
        <f>'19撫卹(政)-性別'!D14+'20撫卹(公)-性別'!D14+'21撫卹(教)-性別'!D14+'22撫卹(軍)-性別'!D14</f>
        <v>6</v>
      </c>
      <c r="E14" s="5">
        <f>'19撫卹(政)-性別'!E14+'20撫卹(公)-性別'!E14+'21撫卹(教)-性別'!E14+'22撫卹(軍)-性別'!E14</f>
        <v>75</v>
      </c>
      <c r="F14" s="5">
        <f t="shared" si="3"/>
        <v>5</v>
      </c>
      <c r="G14" s="5">
        <f>'19撫卹(政)-性別'!G14+'20撫卹(公)-性別'!G14+'21撫卹(教)-性別'!G14+'22撫卹(軍)-性別'!G14</f>
        <v>1</v>
      </c>
      <c r="H14" s="5">
        <f>'19撫卹(政)-性別'!H14+'20撫卹(公)-性別'!H14+'21撫卹(教)-性別'!H14+'22撫卹(軍)-性別'!H14</f>
        <v>4</v>
      </c>
    </row>
    <row r="15" spans="1:16" ht="55.35" customHeight="1">
      <c r="A15" s="113" t="s">
        <v>195</v>
      </c>
      <c r="B15" s="5">
        <f t="shared" si="0"/>
        <v>43</v>
      </c>
      <c r="C15" s="5">
        <f t="shared" si="2"/>
        <v>42</v>
      </c>
      <c r="D15" s="5">
        <f>'19撫卹(政)-性別'!D15+'20撫卹(公)-性別'!D15+'21撫卹(教)-性別'!D15+'22撫卹(軍)-性別'!D15</f>
        <v>4</v>
      </c>
      <c r="E15" s="5">
        <f>'19撫卹(政)-性別'!E15+'20撫卹(公)-性別'!E15+'21撫卹(教)-性別'!E15+'22撫卹(軍)-性別'!E15</f>
        <v>38</v>
      </c>
      <c r="F15" s="5">
        <f t="shared" si="3"/>
        <v>1</v>
      </c>
      <c r="G15" s="5">
        <f>'19撫卹(政)-性別'!G15+'20撫卹(公)-性別'!G15+'21撫卹(教)-性別'!G15+'22撫卹(軍)-性別'!G15</f>
        <v>0</v>
      </c>
      <c r="H15" s="5">
        <f>'19撫卹(政)-性別'!H15+'20撫卹(公)-性別'!H15+'21撫卹(教)-性別'!H15+'22撫卹(軍)-性別'!H15</f>
        <v>1</v>
      </c>
    </row>
    <row r="16" spans="1:16" ht="55.35" customHeight="1">
      <c r="A16" s="113" t="s">
        <v>210</v>
      </c>
      <c r="B16" s="5">
        <f t="shared" si="0"/>
        <v>21</v>
      </c>
      <c r="C16" s="5">
        <f t="shared" si="2"/>
        <v>20</v>
      </c>
      <c r="D16" s="5">
        <f>'19撫卹(政)-性別'!D16+'20撫卹(公)-性別'!D16+'21撫卹(教)-性別'!D16+'22撫卹(軍)-性別'!D16</f>
        <v>4</v>
      </c>
      <c r="E16" s="5">
        <f>'19撫卹(政)-性別'!E16+'20撫卹(公)-性別'!E16+'21撫卹(教)-性別'!E16+'22撫卹(軍)-性別'!E16</f>
        <v>16</v>
      </c>
      <c r="F16" s="5">
        <f t="shared" si="3"/>
        <v>1</v>
      </c>
      <c r="G16" s="5">
        <f>'19撫卹(政)-性別'!G16+'20撫卹(公)-性別'!G16+'21撫卹(教)-性別'!G16+'22撫卹(軍)-性別'!G16</f>
        <v>0</v>
      </c>
      <c r="H16" s="5">
        <f>'19撫卹(政)-性別'!H16+'20撫卹(公)-性別'!H16+'21撫卹(教)-性別'!H16+'22撫卹(軍)-性別'!H16</f>
        <v>1</v>
      </c>
    </row>
    <row r="17" spans="1:8" ht="55.35" customHeight="1">
      <c r="A17" s="145" t="s">
        <v>196</v>
      </c>
      <c r="B17" s="47">
        <f t="shared" si="0"/>
        <v>2</v>
      </c>
      <c r="C17" s="27">
        <f t="shared" si="2"/>
        <v>2</v>
      </c>
      <c r="D17" s="27">
        <f>'19撫卹(政)-性別'!D17+'20撫卹(公)-性別'!D17+'21撫卹(教)-性別'!D17+'22撫卹(軍)-性別'!D17</f>
        <v>0</v>
      </c>
      <c r="E17" s="27">
        <f>'19撫卹(政)-性別'!E17+'20撫卹(公)-性別'!E17+'21撫卹(教)-性別'!E17+'22撫卹(軍)-性別'!E17</f>
        <v>2</v>
      </c>
      <c r="F17" s="27">
        <f t="shared" si="3"/>
        <v>0</v>
      </c>
      <c r="G17" s="27">
        <f>'19撫卹(政)-性別'!G17+'20撫卹(公)-性別'!G17+'21撫卹(教)-性別'!G17+'22撫卹(軍)-性別'!G17</f>
        <v>0</v>
      </c>
      <c r="H17" s="27">
        <f>'19撫卹(政)-性別'!H17+'20撫卹(公)-性別'!H17+'21撫卹(教)-性別'!H17+'22撫卹(軍)-性別'!H17</f>
        <v>0</v>
      </c>
    </row>
    <row r="18" spans="1:8" s="680" customFormat="1" ht="28.5" customHeight="1">
      <c r="A18" s="861" t="s">
        <v>994</v>
      </c>
      <c r="B18" s="862"/>
      <c r="C18" s="862"/>
      <c r="D18" s="862"/>
      <c r="E18" s="862"/>
      <c r="F18" s="862"/>
      <c r="G18" s="862"/>
      <c r="H18" s="862"/>
    </row>
    <row r="19" spans="1:8">
      <c r="A19" s="703" t="s">
        <v>1027</v>
      </c>
      <c r="B19" s="143">
        <f>B5-'[3]18當年撫卹(總)-性別'!B5</f>
        <v>0</v>
      </c>
      <c r="C19" s="143">
        <f>C5-'[3]18當年撫卹(總)-性別'!C5</f>
        <v>0</v>
      </c>
      <c r="D19" s="143">
        <f>D5-'[3]18當年撫卹(總)-性別'!D5</f>
        <v>0</v>
      </c>
      <c r="E19" s="143">
        <f>E5-'[3]18當年撫卹(總)-性別'!E5</f>
        <v>0</v>
      </c>
      <c r="F19" s="143">
        <f>F5-'[3]18當年撫卹(總)-性別'!F5</f>
        <v>0</v>
      </c>
      <c r="G19" s="143">
        <f>G5-'[3]18當年撫卹(總)-性別'!G5</f>
        <v>0</v>
      </c>
      <c r="H19" s="143">
        <f>H5-'[3]18當年撫卹(總)-性別'!H5</f>
        <v>0</v>
      </c>
    </row>
    <row r="20" spans="1:8">
      <c r="B20" s="143">
        <f>B6-'[3]18當年撫卹(總)-性別'!B6</f>
        <v>0</v>
      </c>
      <c r="C20" s="143">
        <f>C6-'[3]18當年撫卹(總)-性別'!C6</f>
        <v>0</v>
      </c>
      <c r="D20" s="143">
        <f>D6-'[3]18當年撫卹(總)-性別'!D6</f>
        <v>0</v>
      </c>
      <c r="E20" s="143">
        <f>E6-'[3]18當年撫卹(總)-性別'!E6</f>
        <v>0</v>
      </c>
      <c r="F20" s="143">
        <f>F6-'[3]18當年撫卹(總)-性別'!F6</f>
        <v>0</v>
      </c>
      <c r="G20" s="143">
        <f>G6-'[3]18當年撫卹(總)-性別'!G6</f>
        <v>0</v>
      </c>
      <c r="H20" s="143">
        <f>H6-'[3]18當年撫卹(總)-性別'!H6</f>
        <v>0</v>
      </c>
    </row>
    <row r="21" spans="1:8">
      <c r="B21" s="143">
        <f>B7-'[3]18當年撫卹(總)-性別'!B7</f>
        <v>0</v>
      </c>
      <c r="C21" s="143">
        <f>C7-'[3]18當年撫卹(總)-性別'!C7</f>
        <v>0</v>
      </c>
      <c r="D21" s="143">
        <f>D7-'[3]18當年撫卹(總)-性別'!D7</f>
        <v>0</v>
      </c>
      <c r="E21" s="143">
        <f>E7-'[3]18當年撫卹(總)-性別'!E7</f>
        <v>0</v>
      </c>
      <c r="F21" s="143">
        <f>F7-'[3]18當年撫卹(總)-性別'!F7</f>
        <v>0</v>
      </c>
      <c r="G21" s="143">
        <f>G7-'[3]18當年撫卹(總)-性別'!G7</f>
        <v>0</v>
      </c>
      <c r="H21" s="143">
        <f>H7-'[3]18當年撫卹(總)-性別'!H7</f>
        <v>0</v>
      </c>
    </row>
    <row r="22" spans="1:8">
      <c r="B22" s="143">
        <f>B8-'[3]18當年撫卹(總)-性別'!B8</f>
        <v>0</v>
      </c>
      <c r="C22" s="143">
        <f>C8-'[3]18當年撫卹(總)-性別'!C8</f>
        <v>0</v>
      </c>
      <c r="D22" s="143">
        <f>D8-'[3]18當年撫卹(總)-性別'!D8</f>
        <v>0</v>
      </c>
      <c r="E22" s="143">
        <f>E8-'[3]18當年撫卹(總)-性別'!E8</f>
        <v>0</v>
      </c>
      <c r="F22" s="143">
        <f>F8-'[3]18當年撫卹(總)-性別'!F8</f>
        <v>0</v>
      </c>
      <c r="G22" s="143">
        <f>G8-'[3]18當年撫卹(總)-性別'!G8</f>
        <v>0</v>
      </c>
      <c r="H22" s="143">
        <f>H8-'[3]18當年撫卹(總)-性別'!H8</f>
        <v>0</v>
      </c>
    </row>
    <row r="23" spans="1:8">
      <c r="B23" s="143">
        <f>B9-'[3]18當年撫卹(總)-性別'!B9</f>
        <v>0</v>
      </c>
      <c r="C23" s="143">
        <f>C9-'[3]18當年撫卹(總)-性別'!C9</f>
        <v>0</v>
      </c>
      <c r="D23" s="143">
        <f>D9-'[3]18當年撫卹(總)-性別'!D9</f>
        <v>0</v>
      </c>
      <c r="E23" s="143">
        <f>E9-'[3]18當年撫卹(總)-性別'!E9</f>
        <v>0</v>
      </c>
      <c r="F23" s="143">
        <f>F9-'[3]18當年撫卹(總)-性別'!F9</f>
        <v>0</v>
      </c>
      <c r="G23" s="143">
        <f>G9-'[3]18當年撫卹(總)-性別'!G9</f>
        <v>0</v>
      </c>
      <c r="H23" s="143">
        <f>H9-'[3]18當年撫卹(總)-性別'!H9</f>
        <v>0</v>
      </c>
    </row>
    <row r="24" spans="1:8">
      <c r="B24" s="143">
        <f>B10-'[3]18當年撫卹(總)-性別'!B10</f>
        <v>0</v>
      </c>
      <c r="C24" s="143">
        <f>C10-'[3]18當年撫卹(總)-性別'!C10</f>
        <v>0</v>
      </c>
      <c r="D24" s="143">
        <f>D10-'[3]18當年撫卹(總)-性別'!D10</f>
        <v>0</v>
      </c>
      <c r="E24" s="143">
        <f>E10-'[3]18當年撫卹(總)-性別'!E10</f>
        <v>0</v>
      </c>
      <c r="F24" s="143">
        <f>F10-'[3]18當年撫卹(總)-性別'!F10</f>
        <v>0</v>
      </c>
      <c r="G24" s="143">
        <f>G10-'[3]18當年撫卹(總)-性別'!G10</f>
        <v>0</v>
      </c>
      <c r="H24" s="143">
        <f>H10-'[3]18當年撫卹(總)-性別'!H10</f>
        <v>0</v>
      </c>
    </row>
    <row r="25" spans="1:8">
      <c r="B25" s="143">
        <f>B11-'[3]18當年撫卹(總)-性別'!B11</f>
        <v>0</v>
      </c>
      <c r="C25" s="143">
        <f>C11-'[3]18當年撫卹(總)-性別'!C11</f>
        <v>0</v>
      </c>
      <c r="D25" s="143">
        <f>D11-'[3]18當年撫卹(總)-性別'!D11</f>
        <v>0</v>
      </c>
      <c r="E25" s="143">
        <f>E11-'[3]18當年撫卹(總)-性別'!E11</f>
        <v>0</v>
      </c>
      <c r="F25" s="143">
        <f>F11-'[3]18當年撫卹(總)-性別'!F11</f>
        <v>0</v>
      </c>
      <c r="G25" s="143">
        <f>G11-'[3]18當年撫卹(總)-性別'!G11</f>
        <v>0</v>
      </c>
      <c r="H25" s="143">
        <f>H11-'[3]18當年撫卹(總)-性別'!H11</f>
        <v>0</v>
      </c>
    </row>
    <row r="26" spans="1:8">
      <c r="B26" s="143">
        <f>B12-'[3]18當年撫卹(總)-性別'!B12</f>
        <v>0</v>
      </c>
      <c r="C26" s="143">
        <f>C12-'[3]18當年撫卹(總)-性別'!C12</f>
        <v>0</v>
      </c>
      <c r="D26" s="143">
        <f>D12-'[3]18當年撫卹(總)-性別'!D12</f>
        <v>0</v>
      </c>
      <c r="E26" s="143">
        <f>E12-'[3]18當年撫卹(總)-性別'!E12</f>
        <v>0</v>
      </c>
      <c r="F26" s="143">
        <f>F12-'[3]18當年撫卹(總)-性別'!F12</f>
        <v>0</v>
      </c>
      <c r="G26" s="143">
        <f>G12-'[3]18當年撫卹(總)-性別'!G12</f>
        <v>0</v>
      </c>
      <c r="H26" s="143">
        <f>H12-'[3]18當年撫卹(總)-性別'!H12</f>
        <v>0</v>
      </c>
    </row>
    <row r="27" spans="1:8">
      <c r="B27" s="143">
        <f>B13-'[3]18當年撫卹(總)-性別'!B13</f>
        <v>0</v>
      </c>
      <c r="C27" s="143">
        <f>C13-'[3]18當年撫卹(總)-性別'!C13</f>
        <v>0</v>
      </c>
      <c r="D27" s="143">
        <f>D13-'[3]18當年撫卹(總)-性別'!D13</f>
        <v>0</v>
      </c>
      <c r="E27" s="143">
        <f>E13-'[3]18當年撫卹(總)-性別'!E13</f>
        <v>0</v>
      </c>
      <c r="F27" s="143">
        <f>F13-'[3]18當年撫卹(總)-性別'!F13</f>
        <v>0</v>
      </c>
      <c r="G27" s="143">
        <f>G13-'[3]18當年撫卹(總)-性別'!G13</f>
        <v>0</v>
      </c>
      <c r="H27" s="143">
        <f>H13-'[3]18當年撫卹(總)-性別'!H13</f>
        <v>0</v>
      </c>
    </row>
    <row r="28" spans="1:8">
      <c r="B28" s="143">
        <f>B14-'[3]18當年撫卹(總)-性別'!B14</f>
        <v>0</v>
      </c>
      <c r="C28" s="143">
        <f>C14-'[3]18當年撫卹(總)-性別'!C14</f>
        <v>0</v>
      </c>
      <c r="D28" s="143">
        <f>D14-'[3]18當年撫卹(總)-性別'!D14</f>
        <v>0</v>
      </c>
      <c r="E28" s="143">
        <f>E14-'[3]18當年撫卹(總)-性別'!E14</f>
        <v>0</v>
      </c>
      <c r="F28" s="143">
        <f>F14-'[3]18當年撫卹(總)-性別'!F14</f>
        <v>0</v>
      </c>
      <c r="G28" s="143">
        <f>G14-'[3]18當年撫卹(總)-性別'!G14</f>
        <v>0</v>
      </c>
      <c r="H28" s="143">
        <f>H14-'[3]18當年撫卹(總)-性別'!H14</f>
        <v>0</v>
      </c>
    </row>
    <row r="29" spans="1:8">
      <c r="B29" s="143">
        <f>B15-'[3]18當年撫卹(總)-性別'!B15</f>
        <v>0</v>
      </c>
      <c r="C29" s="143">
        <f>C15-'[3]18當年撫卹(總)-性別'!C15</f>
        <v>0</v>
      </c>
      <c r="D29" s="143">
        <f>D15-'[3]18當年撫卹(總)-性別'!D15</f>
        <v>0</v>
      </c>
      <c r="E29" s="143">
        <f>E15-'[3]18當年撫卹(總)-性別'!E15</f>
        <v>0</v>
      </c>
      <c r="F29" s="143">
        <f>F15-'[3]18當年撫卹(總)-性別'!F15</f>
        <v>0</v>
      </c>
      <c r="G29" s="143">
        <f>G15-'[3]18當年撫卹(總)-性別'!G15</f>
        <v>0</v>
      </c>
      <c r="H29" s="143">
        <f>H15-'[3]18當年撫卹(總)-性別'!H15</f>
        <v>0</v>
      </c>
    </row>
    <row r="30" spans="1:8">
      <c r="B30" s="143">
        <f>B16-'[3]18當年撫卹(總)-性別'!B16</f>
        <v>0</v>
      </c>
      <c r="C30" s="143">
        <f>C16-'[3]18當年撫卹(總)-性別'!C16</f>
        <v>0</v>
      </c>
      <c r="D30" s="143">
        <f>D16-'[3]18當年撫卹(總)-性別'!D16</f>
        <v>0</v>
      </c>
      <c r="E30" s="143">
        <f>E16-'[3]18當年撫卹(總)-性別'!E16</f>
        <v>0</v>
      </c>
      <c r="F30" s="143">
        <f>F16-'[3]18當年撫卹(總)-性別'!F16</f>
        <v>0</v>
      </c>
      <c r="G30" s="143">
        <f>G16-'[3]18當年撫卹(總)-性別'!G16</f>
        <v>0</v>
      </c>
      <c r="H30" s="143">
        <f>H16-'[3]18當年撫卹(總)-性別'!H16</f>
        <v>0</v>
      </c>
    </row>
    <row r="31" spans="1:8">
      <c r="B31" s="143">
        <f>B17-'[3]18當年撫卹(總)-性別'!B17</f>
        <v>0</v>
      </c>
      <c r="C31" s="143">
        <f>C17-'[3]18當年撫卹(總)-性別'!C17</f>
        <v>0</v>
      </c>
      <c r="D31" s="143">
        <f>D17-'[3]18當年撫卹(總)-性別'!D17</f>
        <v>0</v>
      </c>
      <c r="E31" s="143">
        <f>E17-'[3]18當年撫卹(總)-性別'!E17</f>
        <v>0</v>
      </c>
      <c r="F31" s="143">
        <f>F17-'[3]18當年撫卹(總)-性別'!F17</f>
        <v>0</v>
      </c>
      <c r="G31" s="143">
        <f>G17-'[3]18當年撫卹(總)-性別'!G17</f>
        <v>0</v>
      </c>
      <c r="H31" s="143">
        <f>H17-'[3]18當年撫卹(總)-性別'!H17</f>
        <v>0</v>
      </c>
    </row>
  </sheetData>
  <mergeCells count="7">
    <mergeCell ref="A18:H18"/>
    <mergeCell ref="A1:H1"/>
    <mergeCell ref="A2:G2"/>
    <mergeCell ref="A3:A4"/>
    <mergeCell ref="B3:B4"/>
    <mergeCell ref="C3:E3"/>
    <mergeCell ref="F3:H3"/>
  </mergeCells>
  <phoneticPr fontId="3" type="noConversion"/>
  <pageMargins left="0.4" right="0.33" top="0.59055118110236227" bottom="0.19685039370078741" header="0.18" footer="0"/>
  <pageSetup paperSize="9" scale="91" fitToHeight="2"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Q31"/>
  <sheetViews>
    <sheetView view="pageBreakPreview" zoomScale="90" zoomScaleNormal="100" zoomScaleSheetLayoutView="90" workbookViewId="0">
      <pane xSplit="1" ySplit="4" topLeftCell="D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10.125" style="26" customWidth="1"/>
    <col min="2" max="3" width="10.375" style="1" customWidth="1"/>
    <col min="4" max="4" width="13.125" style="1" bestFit="1" customWidth="1"/>
    <col min="5" max="5" width="17.125" style="1" customWidth="1"/>
    <col min="6" max="6" width="10.375" style="1" customWidth="1"/>
    <col min="7" max="7" width="13.125" style="1" bestFit="1" customWidth="1"/>
    <col min="8" max="8" width="18" style="1" bestFit="1" customWidth="1"/>
    <col min="9" max="16384" width="9" style="15"/>
  </cols>
  <sheetData>
    <row r="1" spans="1:17" ht="33" customHeight="1">
      <c r="A1" s="778" t="s">
        <v>274</v>
      </c>
      <c r="B1" s="778"/>
      <c r="C1" s="778"/>
      <c r="D1" s="778"/>
      <c r="E1" s="778"/>
      <c r="F1" s="778"/>
      <c r="G1" s="778"/>
      <c r="H1" s="778"/>
    </row>
    <row r="2" spans="1:17" ht="33" customHeight="1">
      <c r="A2" s="792" t="s">
        <v>408</v>
      </c>
      <c r="B2" s="792"/>
      <c r="C2" s="792"/>
      <c r="D2" s="792"/>
      <c r="E2" s="792"/>
      <c r="F2" s="792"/>
      <c r="G2" s="792"/>
      <c r="H2" s="115" t="s">
        <v>56</v>
      </c>
    </row>
    <row r="3" spans="1:17" ht="34.5" customHeight="1">
      <c r="A3" s="808" t="s">
        <v>48</v>
      </c>
      <c r="B3" s="817" t="s">
        <v>49</v>
      </c>
      <c r="C3" s="812" t="s">
        <v>197</v>
      </c>
      <c r="D3" s="824"/>
      <c r="E3" s="824"/>
      <c r="F3" s="812" t="s">
        <v>198</v>
      </c>
      <c r="G3" s="824"/>
      <c r="H3" s="824"/>
      <c r="I3" s="16"/>
    </row>
    <row r="4" spans="1:17" ht="34.5" customHeight="1">
      <c r="A4" s="868"/>
      <c r="B4" s="869"/>
      <c r="C4" s="510" t="s">
        <v>58</v>
      </c>
      <c r="D4" s="510" t="s">
        <v>83</v>
      </c>
      <c r="E4" s="679" t="s">
        <v>346</v>
      </c>
      <c r="F4" s="510" t="s">
        <v>58</v>
      </c>
      <c r="G4" s="510" t="s">
        <v>83</v>
      </c>
      <c r="H4" s="678" t="s">
        <v>989</v>
      </c>
      <c r="I4" s="16"/>
      <c r="J4" s="2" t="s">
        <v>1023</v>
      </c>
    </row>
    <row r="5" spans="1:17" ht="56.1" customHeight="1">
      <c r="A5" s="42" t="s">
        <v>49</v>
      </c>
      <c r="B5" s="5">
        <f>C5+F5</f>
        <v>0</v>
      </c>
      <c r="C5" s="5">
        <f>SUM(D5:E5)</f>
        <v>0</v>
      </c>
      <c r="D5" s="5">
        <f>SUM(D8:D17)</f>
        <v>0</v>
      </c>
      <c r="E5" s="5">
        <f>SUM(E8:E17)</f>
        <v>0</v>
      </c>
      <c r="F5" s="5">
        <f>SUM(G5:H5)</f>
        <v>0</v>
      </c>
      <c r="G5" s="5">
        <f>SUM(G8:G17)</f>
        <v>0</v>
      </c>
      <c r="H5" s="5">
        <f>SUM(H8:H17)</f>
        <v>0</v>
      </c>
      <c r="I5" s="118">
        <f>B5-'10當年退離(政)-性別'!G6</f>
        <v>0</v>
      </c>
      <c r="J5" s="118">
        <f>SUM(B6:B7)-B5</f>
        <v>0</v>
      </c>
      <c r="K5" s="118">
        <f t="shared" ref="K5:P5" si="0">SUM(C6:C7)-C5</f>
        <v>0</v>
      </c>
      <c r="L5" s="118">
        <f t="shared" si="0"/>
        <v>0</v>
      </c>
      <c r="M5" s="118">
        <f t="shared" si="0"/>
        <v>0</v>
      </c>
      <c r="N5" s="118">
        <f t="shared" si="0"/>
        <v>0</v>
      </c>
      <c r="O5" s="118">
        <f t="shared" si="0"/>
        <v>0</v>
      </c>
      <c r="P5" s="118">
        <f t="shared" si="0"/>
        <v>0</v>
      </c>
      <c r="Q5" s="118"/>
    </row>
    <row r="6" spans="1:17" s="150" customFormat="1" ht="55.35" customHeight="1">
      <c r="A6" s="154" t="s">
        <v>399</v>
      </c>
      <c r="B6" s="5">
        <f t="shared" ref="B6:B17" si="1">C6+F6</f>
        <v>0</v>
      </c>
      <c r="C6" s="5">
        <f t="shared" ref="C6:C17" si="2">SUM(D6:E6)</f>
        <v>0</v>
      </c>
      <c r="D6" s="5">
        <v>0</v>
      </c>
      <c r="E6" s="5">
        <v>0</v>
      </c>
      <c r="F6" s="5">
        <f t="shared" ref="F6:F17" si="3">SUM(G6:H6)</f>
        <v>0</v>
      </c>
      <c r="G6" s="5">
        <v>0</v>
      </c>
      <c r="H6" s="5">
        <v>0</v>
      </c>
      <c r="I6" s="30"/>
      <c r="J6" s="30"/>
      <c r="K6" s="30"/>
      <c r="L6" s="30"/>
      <c r="M6" s="30"/>
      <c r="N6" s="30"/>
      <c r="O6" s="30"/>
    </row>
    <row r="7" spans="1:17" s="150" customFormat="1" ht="55.35" customHeight="1">
      <c r="A7" s="154" t="s">
        <v>401</v>
      </c>
      <c r="B7" s="5">
        <f t="shared" si="1"/>
        <v>0</v>
      </c>
      <c r="C7" s="5">
        <f t="shared" si="2"/>
        <v>0</v>
      </c>
      <c r="D7" s="5">
        <v>0</v>
      </c>
      <c r="E7" s="5">
        <v>0</v>
      </c>
      <c r="F7" s="5">
        <f t="shared" si="3"/>
        <v>0</v>
      </c>
      <c r="G7" s="5">
        <v>0</v>
      </c>
      <c r="H7" s="5">
        <v>0</v>
      </c>
      <c r="I7" s="30"/>
      <c r="J7" s="30"/>
      <c r="K7" s="30"/>
      <c r="L7" s="30"/>
      <c r="M7" s="30"/>
      <c r="N7" s="30"/>
      <c r="O7" s="30"/>
    </row>
    <row r="8" spans="1:17" ht="56.1" customHeight="1">
      <c r="A8" s="114" t="s">
        <v>92</v>
      </c>
      <c r="B8" s="5">
        <f t="shared" si="1"/>
        <v>0</v>
      </c>
      <c r="C8" s="5">
        <f t="shared" si="2"/>
        <v>0</v>
      </c>
      <c r="D8" s="5">
        <v>0</v>
      </c>
      <c r="E8" s="5">
        <v>0</v>
      </c>
      <c r="F8" s="5">
        <f t="shared" si="3"/>
        <v>0</v>
      </c>
      <c r="G8" s="5">
        <v>0</v>
      </c>
      <c r="H8" s="5">
        <v>0</v>
      </c>
    </row>
    <row r="9" spans="1:17" ht="56.1" customHeight="1">
      <c r="A9" s="114" t="s">
        <v>93</v>
      </c>
      <c r="B9" s="5">
        <f t="shared" si="1"/>
        <v>0</v>
      </c>
      <c r="C9" s="5">
        <f t="shared" si="2"/>
        <v>0</v>
      </c>
      <c r="D9" s="5">
        <v>0</v>
      </c>
      <c r="E9" s="5">
        <v>0</v>
      </c>
      <c r="F9" s="5">
        <f t="shared" si="3"/>
        <v>0</v>
      </c>
      <c r="G9" s="5">
        <v>0</v>
      </c>
      <c r="H9" s="5">
        <v>0</v>
      </c>
    </row>
    <row r="10" spans="1:17" ht="56.1" customHeight="1">
      <c r="A10" s="114" t="s">
        <v>192</v>
      </c>
      <c r="B10" s="5">
        <f t="shared" si="1"/>
        <v>0</v>
      </c>
      <c r="C10" s="5">
        <f t="shared" si="2"/>
        <v>0</v>
      </c>
      <c r="D10" s="5">
        <v>0</v>
      </c>
      <c r="E10" s="5">
        <v>0</v>
      </c>
      <c r="F10" s="5">
        <f t="shared" si="3"/>
        <v>0</v>
      </c>
      <c r="G10" s="5">
        <v>0</v>
      </c>
      <c r="H10" s="5">
        <v>0</v>
      </c>
    </row>
    <row r="11" spans="1:17" ht="56.1" customHeight="1">
      <c r="A11" s="114" t="s">
        <v>193</v>
      </c>
      <c r="B11" s="5">
        <f t="shared" si="1"/>
        <v>0</v>
      </c>
      <c r="C11" s="5">
        <f t="shared" si="2"/>
        <v>0</v>
      </c>
      <c r="D11" s="5">
        <v>0</v>
      </c>
      <c r="E11" s="5">
        <v>0</v>
      </c>
      <c r="F11" s="5">
        <f t="shared" si="3"/>
        <v>0</v>
      </c>
      <c r="G11" s="5">
        <v>0</v>
      </c>
      <c r="H11" s="5">
        <v>0</v>
      </c>
    </row>
    <row r="12" spans="1:17" ht="56.1" customHeight="1">
      <c r="A12" s="114" t="s">
        <v>194</v>
      </c>
      <c r="B12" s="5">
        <f t="shared" si="1"/>
        <v>0</v>
      </c>
      <c r="C12" s="5">
        <f t="shared" si="2"/>
        <v>0</v>
      </c>
      <c r="D12" s="5">
        <v>0</v>
      </c>
      <c r="E12" s="5">
        <v>0</v>
      </c>
      <c r="F12" s="5">
        <f t="shared" si="3"/>
        <v>0</v>
      </c>
      <c r="G12" s="5">
        <v>0</v>
      </c>
      <c r="H12" s="5">
        <v>0</v>
      </c>
    </row>
    <row r="13" spans="1:17" ht="56.1" customHeight="1">
      <c r="A13" s="114" t="s">
        <v>208</v>
      </c>
      <c r="B13" s="5">
        <f t="shared" si="1"/>
        <v>0</v>
      </c>
      <c r="C13" s="5">
        <f t="shared" si="2"/>
        <v>0</v>
      </c>
      <c r="D13" s="5">
        <v>0</v>
      </c>
      <c r="E13" s="5">
        <v>0</v>
      </c>
      <c r="F13" s="5">
        <f t="shared" si="3"/>
        <v>0</v>
      </c>
      <c r="G13" s="5">
        <v>0</v>
      </c>
      <c r="H13" s="5">
        <v>0</v>
      </c>
    </row>
    <row r="14" spans="1:17" ht="56.1" customHeight="1">
      <c r="A14" s="114" t="s">
        <v>209</v>
      </c>
      <c r="B14" s="5">
        <f t="shared" si="1"/>
        <v>0</v>
      </c>
      <c r="C14" s="5">
        <f t="shared" si="2"/>
        <v>0</v>
      </c>
      <c r="D14" s="5">
        <v>0</v>
      </c>
      <c r="E14" s="5">
        <v>0</v>
      </c>
      <c r="F14" s="5">
        <f t="shared" si="3"/>
        <v>0</v>
      </c>
      <c r="G14" s="5">
        <v>0</v>
      </c>
      <c r="H14" s="5">
        <v>0</v>
      </c>
    </row>
    <row r="15" spans="1:17" ht="56.1" customHeight="1">
      <c r="A15" s="114" t="s">
        <v>195</v>
      </c>
      <c r="B15" s="5">
        <f t="shared" si="1"/>
        <v>0</v>
      </c>
      <c r="C15" s="5">
        <f t="shared" si="2"/>
        <v>0</v>
      </c>
      <c r="D15" s="5">
        <v>0</v>
      </c>
      <c r="E15" s="5">
        <v>0</v>
      </c>
      <c r="F15" s="5">
        <f t="shared" si="3"/>
        <v>0</v>
      </c>
      <c r="G15" s="5">
        <v>0</v>
      </c>
      <c r="H15" s="5">
        <v>0</v>
      </c>
    </row>
    <row r="16" spans="1:17" ht="56.1" customHeight="1">
      <c r="A16" s="114" t="s">
        <v>210</v>
      </c>
      <c r="B16" s="5">
        <f t="shared" si="1"/>
        <v>0</v>
      </c>
      <c r="C16" s="5">
        <f t="shared" si="2"/>
        <v>0</v>
      </c>
      <c r="D16" s="5">
        <v>0</v>
      </c>
      <c r="E16" s="5">
        <v>0</v>
      </c>
      <c r="F16" s="5">
        <f t="shared" si="3"/>
        <v>0</v>
      </c>
      <c r="G16" s="5">
        <v>0</v>
      </c>
      <c r="H16" s="5">
        <v>0</v>
      </c>
    </row>
    <row r="17" spans="1:14" ht="56.1" customHeight="1">
      <c r="A17" s="103" t="s">
        <v>196</v>
      </c>
      <c r="B17" s="5">
        <f t="shared" si="1"/>
        <v>0</v>
      </c>
      <c r="C17" s="5">
        <f t="shared" si="2"/>
        <v>0</v>
      </c>
      <c r="D17" s="5">
        <v>0</v>
      </c>
      <c r="E17" s="5">
        <v>0</v>
      </c>
      <c r="F17" s="5">
        <f t="shared" si="3"/>
        <v>0</v>
      </c>
      <c r="G17" s="5">
        <v>0</v>
      </c>
      <c r="H17" s="5">
        <v>0</v>
      </c>
    </row>
    <row r="18" spans="1:14" s="29" customFormat="1" ht="29.25" customHeight="1">
      <c r="A18" s="815" t="s">
        <v>1030</v>
      </c>
      <c r="B18" s="816"/>
      <c r="C18" s="816"/>
      <c r="D18" s="816"/>
      <c r="E18" s="816"/>
      <c r="F18" s="816"/>
      <c r="G18" s="816"/>
      <c r="H18" s="816"/>
      <c r="I18" s="816"/>
      <c r="J18" s="816"/>
      <c r="K18" s="816"/>
      <c r="L18" s="816"/>
      <c r="M18" s="816"/>
      <c r="N18" s="816"/>
    </row>
    <row r="19" spans="1:14" ht="20.100000000000001" customHeight="1">
      <c r="A19" s="703" t="s">
        <v>1027</v>
      </c>
      <c r="B19" s="175">
        <f>B5-'[3]19撫卹(政)-性別'!B5</f>
        <v>0</v>
      </c>
      <c r="C19" s="175">
        <f>C5-'[3]19撫卹(政)-性別'!C5</f>
        <v>0</v>
      </c>
      <c r="D19" s="175">
        <f>D5-'[3]19撫卹(政)-性別'!D5</f>
        <v>0</v>
      </c>
      <c r="E19" s="175">
        <f>E5-'[3]19撫卹(政)-性別'!E5</f>
        <v>0</v>
      </c>
      <c r="F19" s="175">
        <f>F5-'[3]19撫卹(政)-性別'!F5</f>
        <v>0</v>
      </c>
      <c r="G19" s="175">
        <f>G5-'[3]19撫卹(政)-性別'!G5</f>
        <v>0</v>
      </c>
      <c r="H19" s="175">
        <f>H5-'[3]19撫卹(政)-性別'!H5</f>
        <v>0</v>
      </c>
    </row>
    <row r="20" spans="1:14">
      <c r="B20" s="175">
        <f>B6-'[3]19撫卹(政)-性別'!B6</f>
        <v>0</v>
      </c>
      <c r="C20" s="175">
        <f>C6-'[3]19撫卹(政)-性別'!C6</f>
        <v>0</v>
      </c>
      <c r="D20" s="175">
        <f>D6-'[3]19撫卹(政)-性別'!D6</f>
        <v>0</v>
      </c>
      <c r="E20" s="175">
        <f>E6-'[3]19撫卹(政)-性別'!E6</f>
        <v>0</v>
      </c>
      <c r="F20" s="175">
        <f>F6-'[3]19撫卹(政)-性別'!F6</f>
        <v>0</v>
      </c>
      <c r="G20" s="175">
        <f>G6-'[3]19撫卹(政)-性別'!G6</f>
        <v>0</v>
      </c>
      <c r="H20" s="175">
        <f>H6-'[3]19撫卹(政)-性別'!H6</f>
        <v>0</v>
      </c>
    </row>
    <row r="21" spans="1:14">
      <c r="B21" s="175">
        <f>B7-'[3]19撫卹(政)-性別'!B7</f>
        <v>0</v>
      </c>
      <c r="C21" s="175">
        <f>C7-'[3]19撫卹(政)-性別'!C7</f>
        <v>0</v>
      </c>
      <c r="D21" s="175">
        <f>D7-'[3]19撫卹(政)-性別'!D7</f>
        <v>0</v>
      </c>
      <c r="E21" s="175">
        <f>E7-'[3]19撫卹(政)-性別'!E7</f>
        <v>0</v>
      </c>
      <c r="F21" s="175">
        <f>F7-'[3]19撫卹(政)-性別'!F7</f>
        <v>0</v>
      </c>
      <c r="G21" s="175">
        <f>G7-'[3]19撫卹(政)-性別'!G7</f>
        <v>0</v>
      </c>
      <c r="H21" s="175">
        <f>H7-'[3]19撫卹(政)-性別'!H7</f>
        <v>0</v>
      </c>
    </row>
    <row r="22" spans="1:14">
      <c r="B22" s="175">
        <f>B8-'[3]19撫卹(政)-性別'!B8</f>
        <v>0</v>
      </c>
      <c r="C22" s="175">
        <f>C8-'[3]19撫卹(政)-性別'!C8</f>
        <v>0</v>
      </c>
      <c r="D22" s="175">
        <f>D8-'[3]19撫卹(政)-性別'!D8</f>
        <v>0</v>
      </c>
      <c r="E22" s="175">
        <f>E8-'[3]19撫卹(政)-性別'!E8</f>
        <v>0</v>
      </c>
      <c r="F22" s="175">
        <f>F8-'[3]19撫卹(政)-性別'!F8</f>
        <v>0</v>
      </c>
      <c r="G22" s="175">
        <f>G8-'[3]19撫卹(政)-性別'!G8</f>
        <v>0</v>
      </c>
      <c r="H22" s="175">
        <f>H8-'[3]19撫卹(政)-性別'!H8</f>
        <v>0</v>
      </c>
    </row>
    <row r="23" spans="1:14">
      <c r="B23" s="175">
        <f>B9-'[3]19撫卹(政)-性別'!B9</f>
        <v>0</v>
      </c>
      <c r="C23" s="175">
        <f>C9-'[3]19撫卹(政)-性別'!C9</f>
        <v>0</v>
      </c>
      <c r="D23" s="175">
        <f>D9-'[3]19撫卹(政)-性別'!D9</f>
        <v>0</v>
      </c>
      <c r="E23" s="175">
        <f>E9-'[3]19撫卹(政)-性別'!E9</f>
        <v>0</v>
      </c>
      <c r="F23" s="175">
        <f>F9-'[3]19撫卹(政)-性別'!F9</f>
        <v>0</v>
      </c>
      <c r="G23" s="175">
        <f>G9-'[3]19撫卹(政)-性別'!G9</f>
        <v>0</v>
      </c>
      <c r="H23" s="175">
        <f>H9-'[3]19撫卹(政)-性別'!H9</f>
        <v>0</v>
      </c>
    </row>
    <row r="24" spans="1:14">
      <c r="B24" s="175">
        <f>B10-'[3]19撫卹(政)-性別'!B10</f>
        <v>0</v>
      </c>
      <c r="C24" s="175">
        <f>C10-'[3]19撫卹(政)-性別'!C10</f>
        <v>0</v>
      </c>
      <c r="D24" s="175">
        <f>D10-'[3]19撫卹(政)-性別'!D10</f>
        <v>0</v>
      </c>
      <c r="E24" s="175">
        <f>E10-'[3]19撫卹(政)-性別'!E10</f>
        <v>0</v>
      </c>
      <c r="F24" s="175">
        <f>F10-'[3]19撫卹(政)-性別'!F10</f>
        <v>0</v>
      </c>
      <c r="G24" s="175">
        <f>G10-'[3]19撫卹(政)-性別'!G10</f>
        <v>0</v>
      </c>
      <c r="H24" s="175">
        <f>H10-'[3]19撫卹(政)-性別'!H10</f>
        <v>0</v>
      </c>
    </row>
    <row r="25" spans="1:14">
      <c r="B25" s="175">
        <f>B11-'[3]19撫卹(政)-性別'!B11</f>
        <v>0</v>
      </c>
      <c r="C25" s="175">
        <f>C11-'[3]19撫卹(政)-性別'!C11</f>
        <v>0</v>
      </c>
      <c r="D25" s="175">
        <f>D11-'[3]19撫卹(政)-性別'!D11</f>
        <v>0</v>
      </c>
      <c r="E25" s="175">
        <f>E11-'[3]19撫卹(政)-性別'!E11</f>
        <v>0</v>
      </c>
      <c r="F25" s="175">
        <f>F11-'[3]19撫卹(政)-性別'!F11</f>
        <v>0</v>
      </c>
      <c r="G25" s="175">
        <f>G11-'[3]19撫卹(政)-性別'!G11</f>
        <v>0</v>
      </c>
      <c r="H25" s="175">
        <f>H11-'[3]19撫卹(政)-性別'!H11</f>
        <v>0</v>
      </c>
    </row>
    <row r="26" spans="1:14">
      <c r="B26" s="175">
        <f>B12-'[3]19撫卹(政)-性別'!B12</f>
        <v>0</v>
      </c>
      <c r="C26" s="175">
        <f>C12-'[3]19撫卹(政)-性別'!C12</f>
        <v>0</v>
      </c>
      <c r="D26" s="175">
        <f>D12-'[3]19撫卹(政)-性別'!D12</f>
        <v>0</v>
      </c>
      <c r="E26" s="175">
        <f>E12-'[3]19撫卹(政)-性別'!E12</f>
        <v>0</v>
      </c>
      <c r="F26" s="175">
        <f>F12-'[3]19撫卹(政)-性別'!F12</f>
        <v>0</v>
      </c>
      <c r="G26" s="175">
        <f>G12-'[3]19撫卹(政)-性別'!G12</f>
        <v>0</v>
      </c>
      <c r="H26" s="175">
        <f>H12-'[3]19撫卹(政)-性別'!H12</f>
        <v>0</v>
      </c>
    </row>
    <row r="27" spans="1:14">
      <c r="B27" s="175">
        <f>B13-'[3]19撫卹(政)-性別'!B13</f>
        <v>0</v>
      </c>
      <c r="C27" s="175">
        <f>C13-'[3]19撫卹(政)-性別'!C13</f>
        <v>0</v>
      </c>
      <c r="D27" s="175">
        <f>D13-'[3]19撫卹(政)-性別'!D13</f>
        <v>0</v>
      </c>
      <c r="E27" s="175">
        <f>E13-'[3]19撫卹(政)-性別'!E13</f>
        <v>0</v>
      </c>
      <c r="F27" s="175">
        <f>F13-'[3]19撫卹(政)-性別'!F13</f>
        <v>0</v>
      </c>
      <c r="G27" s="175">
        <f>G13-'[3]19撫卹(政)-性別'!G13</f>
        <v>0</v>
      </c>
      <c r="H27" s="175">
        <f>H13-'[3]19撫卹(政)-性別'!H13</f>
        <v>0</v>
      </c>
    </row>
    <row r="28" spans="1:14">
      <c r="B28" s="175">
        <f>B14-'[3]19撫卹(政)-性別'!B14</f>
        <v>0</v>
      </c>
      <c r="C28" s="175">
        <f>C14-'[3]19撫卹(政)-性別'!C14</f>
        <v>0</v>
      </c>
      <c r="D28" s="175">
        <f>D14-'[3]19撫卹(政)-性別'!D14</f>
        <v>0</v>
      </c>
      <c r="E28" s="175">
        <f>E14-'[3]19撫卹(政)-性別'!E14</f>
        <v>0</v>
      </c>
      <c r="F28" s="175">
        <f>F14-'[3]19撫卹(政)-性別'!F14</f>
        <v>0</v>
      </c>
      <c r="G28" s="175">
        <f>G14-'[3]19撫卹(政)-性別'!G14</f>
        <v>0</v>
      </c>
      <c r="H28" s="175">
        <f>H14-'[3]19撫卹(政)-性別'!H14</f>
        <v>0</v>
      </c>
    </row>
    <row r="29" spans="1:14">
      <c r="B29" s="175">
        <f>B15-'[3]19撫卹(政)-性別'!B15</f>
        <v>0</v>
      </c>
      <c r="C29" s="175">
        <f>C15-'[3]19撫卹(政)-性別'!C15</f>
        <v>0</v>
      </c>
      <c r="D29" s="175">
        <f>D15-'[3]19撫卹(政)-性別'!D15</f>
        <v>0</v>
      </c>
      <c r="E29" s="175">
        <f>E15-'[3]19撫卹(政)-性別'!E15</f>
        <v>0</v>
      </c>
      <c r="F29" s="175">
        <f>F15-'[3]19撫卹(政)-性別'!F15</f>
        <v>0</v>
      </c>
      <c r="G29" s="175">
        <f>G15-'[3]19撫卹(政)-性別'!G15</f>
        <v>0</v>
      </c>
      <c r="H29" s="175">
        <f>H15-'[3]19撫卹(政)-性別'!H15</f>
        <v>0</v>
      </c>
    </row>
    <row r="30" spans="1:14">
      <c r="B30" s="175">
        <f>B16-'[3]19撫卹(政)-性別'!B16</f>
        <v>0</v>
      </c>
      <c r="C30" s="175">
        <f>C16-'[3]19撫卹(政)-性別'!C16</f>
        <v>0</v>
      </c>
      <c r="D30" s="175">
        <f>D16-'[3]19撫卹(政)-性別'!D16</f>
        <v>0</v>
      </c>
      <c r="E30" s="175">
        <f>E16-'[3]19撫卹(政)-性別'!E16</f>
        <v>0</v>
      </c>
      <c r="F30" s="175">
        <f>F16-'[3]19撫卹(政)-性別'!F16</f>
        <v>0</v>
      </c>
      <c r="G30" s="175">
        <f>G16-'[3]19撫卹(政)-性別'!G16</f>
        <v>0</v>
      </c>
      <c r="H30" s="175">
        <f>H16-'[3]19撫卹(政)-性別'!H16</f>
        <v>0</v>
      </c>
    </row>
    <row r="31" spans="1:14">
      <c r="B31" s="175">
        <f>B17-'[3]19撫卹(政)-性別'!B17</f>
        <v>0</v>
      </c>
      <c r="C31" s="175">
        <f>C17-'[3]19撫卹(政)-性別'!C17</f>
        <v>0</v>
      </c>
      <c r="D31" s="175">
        <f>D17-'[3]19撫卹(政)-性別'!D17</f>
        <v>0</v>
      </c>
      <c r="E31" s="175">
        <f>E17-'[3]19撫卹(政)-性別'!E17</f>
        <v>0</v>
      </c>
      <c r="F31" s="175">
        <f>F17-'[3]19撫卹(政)-性別'!F17</f>
        <v>0</v>
      </c>
      <c r="G31" s="175">
        <f>G17-'[3]19撫卹(政)-性別'!G17</f>
        <v>0</v>
      </c>
      <c r="H31" s="175">
        <f>H17-'[3]19撫卹(政)-性別'!H17</f>
        <v>0</v>
      </c>
    </row>
  </sheetData>
  <mergeCells count="7">
    <mergeCell ref="A18:N18"/>
    <mergeCell ref="A1:H1"/>
    <mergeCell ref="A2:G2"/>
    <mergeCell ref="A3:A4"/>
    <mergeCell ref="B3:B4"/>
    <mergeCell ref="C3:E3"/>
    <mergeCell ref="F3:H3"/>
  </mergeCells>
  <phoneticPr fontId="3" type="noConversion"/>
  <pageMargins left="0.62992125984251968" right="0" top="0.59055118110236227" bottom="0.39370078740157483" header="0" footer="0"/>
  <pageSetup paperSize="9" scale="91"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90" zoomScaleNormal="100" zoomScaleSheetLayoutView="90"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10.125" style="26" customWidth="1"/>
    <col min="2" max="3" width="10.375" style="1" customWidth="1"/>
    <col min="4" max="4" width="12.375" style="1" customWidth="1"/>
    <col min="5" max="5" width="18" style="1" customWidth="1"/>
    <col min="6" max="6" width="10.375" style="1" customWidth="1"/>
    <col min="7" max="7" width="12.625" style="1" customWidth="1"/>
    <col min="8" max="8" width="17.125" style="1" customWidth="1"/>
    <col min="9" max="16384" width="9" style="15"/>
  </cols>
  <sheetData>
    <row r="1" spans="1:16" ht="33" customHeight="1">
      <c r="A1" s="778" t="s">
        <v>211</v>
      </c>
      <c r="B1" s="778"/>
      <c r="C1" s="778"/>
      <c r="D1" s="778"/>
      <c r="E1" s="778"/>
      <c r="F1" s="778"/>
      <c r="G1" s="778"/>
      <c r="H1" s="778"/>
    </row>
    <row r="2" spans="1:16" ht="33" customHeight="1">
      <c r="A2" s="792" t="s">
        <v>408</v>
      </c>
      <c r="B2" s="792"/>
      <c r="C2" s="792"/>
      <c r="D2" s="792"/>
      <c r="E2" s="792"/>
      <c r="F2" s="792"/>
      <c r="G2" s="792"/>
      <c r="H2" s="115" t="s">
        <v>56</v>
      </c>
    </row>
    <row r="3" spans="1:16" ht="34.5" customHeight="1">
      <c r="A3" s="808" t="s">
        <v>48</v>
      </c>
      <c r="B3" s="817" t="s">
        <v>49</v>
      </c>
      <c r="C3" s="812" t="s">
        <v>197</v>
      </c>
      <c r="D3" s="824"/>
      <c r="E3" s="824"/>
      <c r="F3" s="812" t="s">
        <v>198</v>
      </c>
      <c r="G3" s="824"/>
      <c r="H3" s="824"/>
      <c r="I3" s="16"/>
    </row>
    <row r="4" spans="1:16" ht="34.5" customHeight="1">
      <c r="A4" s="868"/>
      <c r="B4" s="869"/>
      <c r="C4" s="510" t="s">
        <v>58</v>
      </c>
      <c r="D4" s="510" t="s">
        <v>83</v>
      </c>
      <c r="E4" s="678" t="s">
        <v>346</v>
      </c>
      <c r="F4" s="510" t="s">
        <v>58</v>
      </c>
      <c r="G4" s="510" t="s">
        <v>83</v>
      </c>
      <c r="H4" s="678" t="s">
        <v>989</v>
      </c>
      <c r="I4" s="16"/>
      <c r="J4" s="2" t="s">
        <v>1023</v>
      </c>
    </row>
    <row r="5" spans="1:16" ht="56.1" customHeight="1">
      <c r="A5" s="42" t="s">
        <v>49</v>
      </c>
      <c r="B5" s="5">
        <f t="shared" ref="B5:B17" si="0">C5+F5</f>
        <v>209</v>
      </c>
      <c r="C5" s="5">
        <f t="shared" ref="C5:C17" si="1">SUM(D5:E5)</f>
        <v>194</v>
      </c>
      <c r="D5" s="5">
        <f>SUM(D8:D17)</f>
        <v>58</v>
      </c>
      <c r="E5" s="5">
        <f>SUM(E8:E17)</f>
        <v>136</v>
      </c>
      <c r="F5" s="5">
        <f t="shared" ref="F5:F17" si="2">SUM(G5:H5)</f>
        <v>15</v>
      </c>
      <c r="G5" s="5">
        <f>SUM(G8:G17)</f>
        <v>1</v>
      </c>
      <c r="H5" s="5">
        <f>SUM(H8:H17)</f>
        <v>14</v>
      </c>
      <c r="I5" s="118">
        <f>B5-'11當年退離(公)-性別'!H6</f>
        <v>0</v>
      </c>
      <c r="J5" s="118">
        <f>SUM(B6:B7)-B5</f>
        <v>0</v>
      </c>
      <c r="K5" s="118">
        <f t="shared" ref="K5:P5" si="3">SUM(C6:C7)-C5</f>
        <v>0</v>
      </c>
      <c r="L5" s="118">
        <f t="shared" si="3"/>
        <v>0</v>
      </c>
      <c r="M5" s="118">
        <f t="shared" si="3"/>
        <v>0</v>
      </c>
      <c r="N5" s="118">
        <f t="shared" si="3"/>
        <v>0</v>
      </c>
      <c r="O5" s="118">
        <f t="shared" si="3"/>
        <v>0</v>
      </c>
      <c r="P5" s="118">
        <f t="shared" si="3"/>
        <v>0</v>
      </c>
    </row>
    <row r="6" spans="1:16" s="150" customFormat="1" ht="55.35" customHeight="1">
      <c r="A6" s="154" t="s">
        <v>399</v>
      </c>
      <c r="B6" s="5">
        <f t="shared" si="0"/>
        <v>149</v>
      </c>
      <c r="C6" s="5">
        <f t="shared" si="1"/>
        <v>135</v>
      </c>
      <c r="D6" s="5">
        <v>37</v>
      </c>
      <c r="E6" s="5">
        <v>98</v>
      </c>
      <c r="F6" s="5">
        <f t="shared" si="2"/>
        <v>14</v>
      </c>
      <c r="G6" s="5">
        <v>1</v>
      </c>
      <c r="H6" s="5">
        <v>13</v>
      </c>
      <c r="I6" s="30"/>
      <c r="J6" s="30"/>
      <c r="K6" s="30"/>
      <c r="L6" s="30"/>
      <c r="M6" s="30"/>
      <c r="N6" s="30"/>
      <c r="O6" s="30"/>
    </row>
    <row r="7" spans="1:16" s="150" customFormat="1" ht="55.35" customHeight="1">
      <c r="A7" s="154" t="s">
        <v>401</v>
      </c>
      <c r="B7" s="5">
        <f t="shared" si="0"/>
        <v>60</v>
      </c>
      <c r="C7" s="5">
        <f t="shared" si="1"/>
        <v>59</v>
      </c>
      <c r="D7" s="5">
        <v>21</v>
      </c>
      <c r="E7" s="5">
        <v>38</v>
      </c>
      <c r="F7" s="5">
        <f t="shared" si="2"/>
        <v>1</v>
      </c>
      <c r="G7" s="5">
        <v>0</v>
      </c>
      <c r="H7" s="5">
        <v>1</v>
      </c>
      <c r="I7" s="30"/>
      <c r="J7" s="30"/>
      <c r="K7" s="30"/>
      <c r="L7" s="30"/>
      <c r="M7" s="30"/>
      <c r="N7" s="30"/>
      <c r="O7" s="30"/>
    </row>
    <row r="8" spans="1:16" ht="56.1" customHeight="1">
      <c r="A8" s="114" t="s">
        <v>92</v>
      </c>
      <c r="B8" s="5">
        <f t="shared" si="0"/>
        <v>3</v>
      </c>
      <c r="C8" s="5">
        <f t="shared" si="1"/>
        <v>2</v>
      </c>
      <c r="D8" s="5">
        <v>2</v>
      </c>
      <c r="E8" s="5">
        <v>0</v>
      </c>
      <c r="F8" s="5">
        <f t="shared" si="2"/>
        <v>1</v>
      </c>
      <c r="G8" s="5">
        <v>0</v>
      </c>
      <c r="H8" s="5">
        <v>1</v>
      </c>
    </row>
    <row r="9" spans="1:16" ht="56.1" customHeight="1">
      <c r="A9" s="114" t="s">
        <v>93</v>
      </c>
      <c r="B9" s="5">
        <f t="shared" si="0"/>
        <v>5</v>
      </c>
      <c r="C9" s="5">
        <f t="shared" si="1"/>
        <v>4</v>
      </c>
      <c r="D9" s="5">
        <v>4</v>
      </c>
      <c r="E9" s="5">
        <v>0</v>
      </c>
      <c r="F9" s="5">
        <f t="shared" si="2"/>
        <v>1</v>
      </c>
      <c r="G9" s="5">
        <v>0</v>
      </c>
      <c r="H9" s="5">
        <v>1</v>
      </c>
    </row>
    <row r="10" spans="1:16" ht="56.1" customHeight="1">
      <c r="A10" s="114" t="s">
        <v>339</v>
      </c>
      <c r="B10" s="5">
        <f t="shared" si="0"/>
        <v>9</v>
      </c>
      <c r="C10" s="5">
        <f t="shared" si="1"/>
        <v>6</v>
      </c>
      <c r="D10" s="5">
        <v>6</v>
      </c>
      <c r="E10" s="5">
        <v>0</v>
      </c>
      <c r="F10" s="5">
        <f t="shared" si="2"/>
        <v>3</v>
      </c>
      <c r="G10" s="5">
        <v>0</v>
      </c>
      <c r="H10" s="5">
        <v>3</v>
      </c>
    </row>
    <row r="11" spans="1:16" ht="56.1" customHeight="1">
      <c r="A11" s="114" t="s">
        <v>193</v>
      </c>
      <c r="B11" s="5">
        <f t="shared" si="0"/>
        <v>14</v>
      </c>
      <c r="C11" s="5">
        <f t="shared" si="1"/>
        <v>12</v>
      </c>
      <c r="D11" s="5">
        <v>12</v>
      </c>
      <c r="E11" s="5">
        <v>0</v>
      </c>
      <c r="F11" s="5">
        <f t="shared" si="2"/>
        <v>2</v>
      </c>
      <c r="G11" s="5">
        <v>0</v>
      </c>
      <c r="H11" s="5">
        <v>2</v>
      </c>
    </row>
    <row r="12" spans="1:16" ht="56.1" customHeight="1">
      <c r="A12" s="114" t="s">
        <v>194</v>
      </c>
      <c r="B12" s="5">
        <f t="shared" si="0"/>
        <v>25</v>
      </c>
      <c r="C12" s="5">
        <f t="shared" si="1"/>
        <v>23</v>
      </c>
      <c r="D12" s="5">
        <v>13</v>
      </c>
      <c r="E12" s="5">
        <v>10</v>
      </c>
      <c r="F12" s="5">
        <f t="shared" si="2"/>
        <v>2</v>
      </c>
      <c r="G12" s="5">
        <v>0</v>
      </c>
      <c r="H12" s="5">
        <v>2</v>
      </c>
    </row>
    <row r="13" spans="1:16" ht="56.1" customHeight="1">
      <c r="A13" s="114" t="s">
        <v>208</v>
      </c>
      <c r="B13" s="5">
        <f t="shared" si="0"/>
        <v>45</v>
      </c>
      <c r="C13" s="5">
        <f t="shared" si="1"/>
        <v>45</v>
      </c>
      <c r="D13" s="5">
        <v>10</v>
      </c>
      <c r="E13" s="5">
        <v>35</v>
      </c>
      <c r="F13" s="5">
        <f t="shared" si="2"/>
        <v>0</v>
      </c>
      <c r="G13" s="5">
        <v>0</v>
      </c>
      <c r="H13" s="5">
        <v>0</v>
      </c>
    </row>
    <row r="14" spans="1:16" ht="56.1" customHeight="1">
      <c r="A14" s="114" t="s">
        <v>209</v>
      </c>
      <c r="B14" s="5">
        <f t="shared" si="0"/>
        <v>63</v>
      </c>
      <c r="C14" s="5">
        <f t="shared" si="1"/>
        <v>59</v>
      </c>
      <c r="D14" s="5">
        <v>5</v>
      </c>
      <c r="E14" s="5">
        <v>54</v>
      </c>
      <c r="F14" s="5">
        <f t="shared" si="2"/>
        <v>4</v>
      </c>
      <c r="G14" s="5">
        <v>1</v>
      </c>
      <c r="H14" s="5">
        <v>3</v>
      </c>
    </row>
    <row r="15" spans="1:16" ht="56.1" customHeight="1">
      <c r="A15" s="114" t="s">
        <v>195</v>
      </c>
      <c r="B15" s="5">
        <f t="shared" si="0"/>
        <v>29</v>
      </c>
      <c r="C15" s="5">
        <f t="shared" si="1"/>
        <v>28</v>
      </c>
      <c r="D15" s="5">
        <v>3</v>
      </c>
      <c r="E15" s="5">
        <v>25</v>
      </c>
      <c r="F15" s="5">
        <f t="shared" si="2"/>
        <v>1</v>
      </c>
      <c r="G15" s="5">
        <v>0</v>
      </c>
      <c r="H15" s="5">
        <v>1</v>
      </c>
    </row>
    <row r="16" spans="1:16" ht="56.1" customHeight="1">
      <c r="A16" s="114" t="s">
        <v>210</v>
      </c>
      <c r="B16" s="5">
        <f t="shared" si="0"/>
        <v>14</v>
      </c>
      <c r="C16" s="5">
        <f t="shared" si="1"/>
        <v>13</v>
      </c>
      <c r="D16" s="5">
        <v>3</v>
      </c>
      <c r="E16" s="5">
        <v>10</v>
      </c>
      <c r="F16" s="5">
        <f t="shared" si="2"/>
        <v>1</v>
      </c>
      <c r="G16" s="5">
        <v>0</v>
      </c>
      <c r="H16" s="5">
        <v>1</v>
      </c>
    </row>
    <row r="17" spans="1:15" ht="56.1" customHeight="1">
      <c r="A17" s="103" t="s">
        <v>196</v>
      </c>
      <c r="B17" s="5">
        <f t="shared" si="0"/>
        <v>2</v>
      </c>
      <c r="C17" s="5">
        <f t="shared" si="1"/>
        <v>2</v>
      </c>
      <c r="D17" s="5">
        <v>0</v>
      </c>
      <c r="E17" s="5">
        <v>2</v>
      </c>
      <c r="F17" s="5">
        <f t="shared" si="2"/>
        <v>0</v>
      </c>
      <c r="G17" s="5">
        <v>0</v>
      </c>
      <c r="H17" s="5">
        <v>0</v>
      </c>
    </row>
    <row r="18" spans="1:15" s="680" customFormat="1" ht="28.5" customHeight="1">
      <c r="A18" s="838" t="s">
        <v>990</v>
      </c>
      <c r="B18" s="838"/>
      <c r="C18" s="838"/>
      <c r="D18" s="838"/>
      <c r="E18" s="838"/>
      <c r="F18" s="838"/>
      <c r="G18" s="838"/>
      <c r="H18" s="838"/>
      <c r="I18" s="838"/>
      <c r="J18" s="838"/>
      <c r="K18" s="838"/>
      <c r="L18" s="838"/>
      <c r="M18" s="838"/>
      <c r="N18" s="838"/>
      <c r="O18" s="838"/>
    </row>
    <row r="19" spans="1:15">
      <c r="A19" s="703" t="s">
        <v>1027</v>
      </c>
      <c r="B19" s="143">
        <f>B5-'[3]20撫卹(公)-性別'!B5</f>
        <v>0</v>
      </c>
      <c r="C19" s="143">
        <f>C5-'[3]20撫卹(公)-性別'!C5</f>
        <v>0</v>
      </c>
      <c r="D19" s="143">
        <f>D5-'[3]20撫卹(公)-性別'!D5</f>
        <v>0</v>
      </c>
      <c r="E19" s="143">
        <f>E5-'[3]20撫卹(公)-性別'!E5</f>
        <v>0</v>
      </c>
      <c r="F19" s="143">
        <f>F5-'[3]20撫卹(公)-性別'!F5</f>
        <v>0</v>
      </c>
      <c r="G19" s="143">
        <f>G5-'[3]20撫卹(公)-性別'!G5</f>
        <v>0</v>
      </c>
      <c r="H19" s="143">
        <f>H5-'[3]20撫卹(公)-性別'!H5</f>
        <v>0</v>
      </c>
    </row>
    <row r="20" spans="1:15" ht="20.100000000000001" customHeight="1">
      <c r="A20" s="12"/>
      <c r="B20" s="143">
        <f>B6-'[3]20撫卹(公)-性別'!B6</f>
        <v>0</v>
      </c>
      <c r="C20" s="143">
        <f>C6-'[3]20撫卹(公)-性別'!C6</f>
        <v>0</v>
      </c>
      <c r="D20" s="143">
        <f>D6-'[3]20撫卹(公)-性別'!D6</f>
        <v>0</v>
      </c>
      <c r="E20" s="143">
        <f>E6-'[3]20撫卹(公)-性別'!E6</f>
        <v>0</v>
      </c>
      <c r="F20" s="143">
        <f>F6-'[3]20撫卹(公)-性別'!F6</f>
        <v>0</v>
      </c>
      <c r="G20" s="143">
        <f>G6-'[3]20撫卹(公)-性別'!G6</f>
        <v>0</v>
      </c>
      <c r="H20" s="143">
        <f>H6-'[3]20撫卹(公)-性別'!H6</f>
        <v>0</v>
      </c>
    </row>
    <row r="21" spans="1:15">
      <c r="B21" s="143">
        <f>B7-'[3]20撫卹(公)-性別'!B7</f>
        <v>0</v>
      </c>
      <c r="C21" s="143">
        <f>C7-'[3]20撫卹(公)-性別'!C7</f>
        <v>0</v>
      </c>
      <c r="D21" s="143">
        <f>D7-'[3]20撫卹(公)-性別'!D7</f>
        <v>0</v>
      </c>
      <c r="E21" s="143">
        <f>E7-'[3]20撫卹(公)-性別'!E7</f>
        <v>0</v>
      </c>
      <c r="F21" s="143">
        <f>F7-'[3]20撫卹(公)-性別'!F7</f>
        <v>0</v>
      </c>
      <c r="G21" s="143">
        <f>G7-'[3]20撫卹(公)-性別'!G7</f>
        <v>0</v>
      </c>
      <c r="H21" s="143">
        <f>H7-'[3]20撫卹(公)-性別'!H7</f>
        <v>0</v>
      </c>
    </row>
    <row r="22" spans="1:15">
      <c r="B22" s="143">
        <f>B8-'[3]20撫卹(公)-性別'!B8</f>
        <v>0</v>
      </c>
      <c r="C22" s="143">
        <f>C8-'[3]20撫卹(公)-性別'!C8</f>
        <v>0</v>
      </c>
      <c r="D22" s="143">
        <f>D8-'[3]20撫卹(公)-性別'!D8</f>
        <v>0</v>
      </c>
      <c r="E22" s="143">
        <f>E8-'[3]20撫卹(公)-性別'!E8</f>
        <v>0</v>
      </c>
      <c r="F22" s="143">
        <f>F8-'[3]20撫卹(公)-性別'!F8</f>
        <v>0</v>
      </c>
      <c r="G22" s="143">
        <f>G8-'[3]20撫卹(公)-性別'!G8</f>
        <v>0</v>
      </c>
      <c r="H22" s="143">
        <f>H8-'[3]20撫卹(公)-性別'!H8</f>
        <v>0</v>
      </c>
    </row>
    <row r="23" spans="1:15">
      <c r="B23" s="143">
        <f>B9-'[3]20撫卹(公)-性別'!B9</f>
        <v>0</v>
      </c>
      <c r="C23" s="143">
        <f>C9-'[3]20撫卹(公)-性別'!C9</f>
        <v>0</v>
      </c>
      <c r="D23" s="143">
        <f>D9-'[3]20撫卹(公)-性別'!D9</f>
        <v>0</v>
      </c>
      <c r="E23" s="143">
        <f>E9-'[3]20撫卹(公)-性別'!E9</f>
        <v>0</v>
      </c>
      <c r="F23" s="143">
        <f>F9-'[3]20撫卹(公)-性別'!F9</f>
        <v>0</v>
      </c>
      <c r="G23" s="143">
        <f>G9-'[3]20撫卹(公)-性別'!G9</f>
        <v>0</v>
      </c>
      <c r="H23" s="143">
        <f>H9-'[3]20撫卹(公)-性別'!H9</f>
        <v>0</v>
      </c>
    </row>
    <row r="24" spans="1:15">
      <c r="B24" s="143">
        <f>B10-'[3]20撫卹(公)-性別'!B10</f>
        <v>0</v>
      </c>
      <c r="C24" s="143">
        <f>C10-'[3]20撫卹(公)-性別'!C10</f>
        <v>0</v>
      </c>
      <c r="D24" s="143">
        <f>D10-'[3]20撫卹(公)-性別'!D10</f>
        <v>0</v>
      </c>
      <c r="E24" s="143">
        <f>E10-'[3]20撫卹(公)-性別'!E10</f>
        <v>0</v>
      </c>
      <c r="F24" s="143">
        <f>F10-'[3]20撫卹(公)-性別'!F10</f>
        <v>0</v>
      </c>
      <c r="G24" s="143">
        <f>G10-'[3]20撫卹(公)-性別'!G10</f>
        <v>0</v>
      </c>
      <c r="H24" s="143">
        <f>H10-'[3]20撫卹(公)-性別'!H10</f>
        <v>0</v>
      </c>
    </row>
    <row r="25" spans="1:15">
      <c r="B25" s="143">
        <f>B11-'[3]20撫卹(公)-性別'!B11</f>
        <v>0</v>
      </c>
      <c r="C25" s="143">
        <f>C11-'[3]20撫卹(公)-性別'!C11</f>
        <v>0</v>
      </c>
      <c r="D25" s="143">
        <f>D11-'[3]20撫卹(公)-性別'!D11</f>
        <v>0</v>
      </c>
      <c r="E25" s="143">
        <f>E11-'[3]20撫卹(公)-性別'!E11</f>
        <v>0</v>
      </c>
      <c r="F25" s="143">
        <f>F11-'[3]20撫卹(公)-性別'!F11</f>
        <v>0</v>
      </c>
      <c r="G25" s="143">
        <f>G11-'[3]20撫卹(公)-性別'!G11</f>
        <v>0</v>
      </c>
      <c r="H25" s="143">
        <f>H11-'[3]20撫卹(公)-性別'!H11</f>
        <v>0</v>
      </c>
    </row>
    <row r="26" spans="1:15">
      <c r="B26" s="143">
        <f>B12-'[3]20撫卹(公)-性別'!B12</f>
        <v>0</v>
      </c>
      <c r="C26" s="143">
        <f>C12-'[3]20撫卹(公)-性別'!C12</f>
        <v>0</v>
      </c>
      <c r="D26" s="143">
        <f>D12-'[3]20撫卹(公)-性別'!D12</f>
        <v>0</v>
      </c>
      <c r="E26" s="143">
        <f>E12-'[3]20撫卹(公)-性別'!E12</f>
        <v>0</v>
      </c>
      <c r="F26" s="143">
        <f>F12-'[3]20撫卹(公)-性別'!F12</f>
        <v>0</v>
      </c>
      <c r="G26" s="143">
        <f>G12-'[3]20撫卹(公)-性別'!G12</f>
        <v>0</v>
      </c>
      <c r="H26" s="143">
        <f>H12-'[3]20撫卹(公)-性別'!H12</f>
        <v>0</v>
      </c>
    </row>
    <row r="27" spans="1:15">
      <c r="B27" s="143">
        <f>B13-'[3]20撫卹(公)-性別'!B13</f>
        <v>0</v>
      </c>
      <c r="C27" s="143">
        <f>C13-'[3]20撫卹(公)-性別'!C13</f>
        <v>0</v>
      </c>
      <c r="D27" s="143">
        <f>D13-'[3]20撫卹(公)-性別'!D13</f>
        <v>0</v>
      </c>
      <c r="E27" s="143">
        <f>E13-'[3]20撫卹(公)-性別'!E13</f>
        <v>0</v>
      </c>
      <c r="F27" s="143">
        <f>F13-'[3]20撫卹(公)-性別'!F13</f>
        <v>0</v>
      </c>
      <c r="G27" s="143">
        <f>G13-'[3]20撫卹(公)-性別'!G13</f>
        <v>0</v>
      </c>
      <c r="H27" s="143">
        <f>H13-'[3]20撫卹(公)-性別'!H13</f>
        <v>0</v>
      </c>
    </row>
    <row r="28" spans="1:15">
      <c r="B28" s="143">
        <f>B14-'[3]20撫卹(公)-性別'!B14</f>
        <v>0</v>
      </c>
      <c r="C28" s="143">
        <f>C14-'[3]20撫卹(公)-性別'!C14</f>
        <v>0</v>
      </c>
      <c r="D28" s="143">
        <f>D14-'[3]20撫卹(公)-性別'!D14</f>
        <v>0</v>
      </c>
      <c r="E28" s="143">
        <f>E14-'[3]20撫卹(公)-性別'!E14</f>
        <v>0</v>
      </c>
      <c r="F28" s="143">
        <f>F14-'[3]20撫卹(公)-性別'!F14</f>
        <v>0</v>
      </c>
      <c r="G28" s="143">
        <f>G14-'[3]20撫卹(公)-性別'!G14</f>
        <v>0</v>
      </c>
      <c r="H28" s="143">
        <f>H14-'[3]20撫卹(公)-性別'!H14</f>
        <v>0</v>
      </c>
    </row>
    <row r="29" spans="1:15">
      <c r="B29" s="143">
        <f>B15-'[3]20撫卹(公)-性別'!B15</f>
        <v>0</v>
      </c>
      <c r="C29" s="143">
        <f>C15-'[3]20撫卹(公)-性別'!C15</f>
        <v>0</v>
      </c>
      <c r="D29" s="143">
        <f>D15-'[3]20撫卹(公)-性別'!D15</f>
        <v>0</v>
      </c>
      <c r="E29" s="143">
        <f>E15-'[3]20撫卹(公)-性別'!E15</f>
        <v>0</v>
      </c>
      <c r="F29" s="143">
        <f>F15-'[3]20撫卹(公)-性別'!F15</f>
        <v>0</v>
      </c>
      <c r="G29" s="143">
        <f>G15-'[3]20撫卹(公)-性別'!G15</f>
        <v>0</v>
      </c>
      <c r="H29" s="143">
        <f>H15-'[3]20撫卹(公)-性別'!H15</f>
        <v>0</v>
      </c>
    </row>
    <row r="30" spans="1:15">
      <c r="B30" s="143">
        <f>B16-'[3]20撫卹(公)-性別'!B16</f>
        <v>0</v>
      </c>
      <c r="C30" s="143">
        <f>C16-'[3]20撫卹(公)-性別'!C16</f>
        <v>0</v>
      </c>
      <c r="D30" s="143">
        <f>D16-'[3]20撫卹(公)-性別'!D16</f>
        <v>0</v>
      </c>
      <c r="E30" s="143">
        <f>E16-'[3]20撫卹(公)-性別'!E16</f>
        <v>0</v>
      </c>
      <c r="F30" s="143">
        <f>F16-'[3]20撫卹(公)-性別'!F16</f>
        <v>0</v>
      </c>
      <c r="G30" s="143">
        <f>G16-'[3]20撫卹(公)-性別'!G16</f>
        <v>0</v>
      </c>
      <c r="H30" s="143">
        <f>H16-'[3]20撫卹(公)-性別'!H16</f>
        <v>0</v>
      </c>
    </row>
    <row r="31" spans="1:15">
      <c r="B31" s="143">
        <f>B17-'[3]20撫卹(公)-性別'!B17</f>
        <v>0</v>
      </c>
      <c r="C31" s="143">
        <f>C17-'[3]20撫卹(公)-性別'!C17</f>
        <v>0</v>
      </c>
      <c r="D31" s="143">
        <f>D17-'[3]20撫卹(公)-性別'!D17</f>
        <v>0</v>
      </c>
      <c r="E31" s="143">
        <f>E17-'[3]20撫卹(公)-性別'!E17</f>
        <v>0</v>
      </c>
      <c r="F31" s="143">
        <f>F17-'[3]20撫卹(公)-性別'!F17</f>
        <v>0</v>
      </c>
      <c r="G31" s="143">
        <f>G17-'[3]20撫卹(公)-性別'!G17</f>
        <v>0</v>
      </c>
      <c r="H31" s="143">
        <f>H17-'[3]20撫卹(公)-性別'!H17</f>
        <v>0</v>
      </c>
    </row>
  </sheetData>
  <mergeCells count="7">
    <mergeCell ref="A18:O18"/>
    <mergeCell ref="A1:H1"/>
    <mergeCell ref="A2:G2"/>
    <mergeCell ref="A3:A4"/>
    <mergeCell ref="B3:B4"/>
    <mergeCell ref="C3:E3"/>
    <mergeCell ref="F3:H3"/>
  </mergeCells>
  <phoneticPr fontId="3" type="noConversion"/>
  <pageMargins left="0.62992125984251968" right="0" top="0.59055118110236227" bottom="0.47244094488188981" header="0" footer="0"/>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90" zoomScaleNormal="100" zoomScaleSheetLayoutView="90" workbookViewId="0">
      <pane xSplit="1" ySplit="4" topLeftCell="C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9.625" style="26" customWidth="1"/>
    <col min="2" max="3" width="10.375" style="1" customWidth="1"/>
    <col min="4" max="4" width="12.375" style="1" customWidth="1"/>
    <col min="5" max="5" width="15.625" style="1" customWidth="1"/>
    <col min="6" max="6" width="10.375" style="1" customWidth="1"/>
    <col min="7" max="7" width="12.375" style="1" customWidth="1"/>
    <col min="8" max="8" width="16.125" style="1" customWidth="1"/>
    <col min="9" max="16384" width="9" style="15"/>
  </cols>
  <sheetData>
    <row r="1" spans="1:16" ht="33" customHeight="1">
      <c r="A1" s="778" t="s">
        <v>275</v>
      </c>
      <c r="B1" s="778"/>
      <c r="C1" s="778"/>
      <c r="D1" s="778"/>
      <c r="E1" s="778"/>
      <c r="F1" s="778"/>
      <c r="G1" s="778"/>
      <c r="H1" s="778"/>
    </row>
    <row r="2" spans="1:16" ht="33" customHeight="1">
      <c r="A2" s="792" t="s">
        <v>409</v>
      </c>
      <c r="B2" s="792"/>
      <c r="C2" s="792"/>
      <c r="D2" s="792"/>
      <c r="E2" s="792"/>
      <c r="F2" s="792"/>
      <c r="G2" s="792"/>
      <c r="H2" s="115" t="s">
        <v>56</v>
      </c>
    </row>
    <row r="3" spans="1:16" ht="34.5" customHeight="1">
      <c r="A3" s="808" t="s">
        <v>48</v>
      </c>
      <c r="B3" s="817" t="s">
        <v>49</v>
      </c>
      <c r="C3" s="812" t="s">
        <v>197</v>
      </c>
      <c r="D3" s="824"/>
      <c r="E3" s="824"/>
      <c r="F3" s="812" t="s">
        <v>198</v>
      </c>
      <c r="G3" s="824"/>
      <c r="H3" s="824"/>
      <c r="I3" s="16"/>
    </row>
    <row r="4" spans="1:16" ht="34.5" customHeight="1">
      <c r="A4" s="868"/>
      <c r="B4" s="869"/>
      <c r="C4" s="510" t="s">
        <v>58</v>
      </c>
      <c r="D4" s="510" t="s">
        <v>83</v>
      </c>
      <c r="E4" s="678" t="s">
        <v>346</v>
      </c>
      <c r="F4" s="510" t="s">
        <v>58</v>
      </c>
      <c r="G4" s="510" t="s">
        <v>83</v>
      </c>
      <c r="H4" s="678" t="s">
        <v>989</v>
      </c>
      <c r="I4" s="16"/>
      <c r="J4" s="2" t="s">
        <v>1023</v>
      </c>
    </row>
    <row r="5" spans="1:16" ht="56.1" customHeight="1">
      <c r="A5" s="42" t="s">
        <v>49</v>
      </c>
      <c r="B5" s="5">
        <f t="shared" ref="B5:B17" si="0">C5+F5</f>
        <v>104</v>
      </c>
      <c r="C5" s="5">
        <f t="shared" ref="C5:C17" si="1">SUM(D5:E5)</f>
        <v>101</v>
      </c>
      <c r="D5" s="5">
        <f>SUM(D8:D17)</f>
        <v>22</v>
      </c>
      <c r="E5" s="5">
        <f>SUM(E8:E17)</f>
        <v>79</v>
      </c>
      <c r="F5" s="5">
        <f t="shared" ref="F5:F17" si="2">SUM(G5:H5)</f>
        <v>3</v>
      </c>
      <c r="G5" s="5">
        <f>SUM(G8:G17)</f>
        <v>0</v>
      </c>
      <c r="H5" s="5">
        <f>SUM(H8:H17)</f>
        <v>3</v>
      </c>
      <c r="I5" s="118">
        <f>B5-'12當年退離(教)-性別'!H6</f>
        <v>0</v>
      </c>
      <c r="J5" s="118">
        <f>SUM(B6:B7)-B5</f>
        <v>0</v>
      </c>
      <c r="K5" s="118">
        <f t="shared" ref="K5:P5" si="3">SUM(C6:C7)-C5</f>
        <v>0</v>
      </c>
      <c r="L5" s="118">
        <f t="shared" si="3"/>
        <v>0</v>
      </c>
      <c r="M5" s="118">
        <f t="shared" si="3"/>
        <v>0</v>
      </c>
      <c r="N5" s="118">
        <f t="shared" si="3"/>
        <v>0</v>
      </c>
      <c r="O5" s="118">
        <f t="shared" si="3"/>
        <v>0</v>
      </c>
      <c r="P5" s="118">
        <f t="shared" si="3"/>
        <v>0</v>
      </c>
    </row>
    <row r="6" spans="1:16" s="150" customFormat="1" ht="55.35" customHeight="1">
      <c r="A6" s="154" t="s">
        <v>399</v>
      </c>
      <c r="B6" s="5">
        <f t="shared" si="0"/>
        <v>61</v>
      </c>
      <c r="C6" s="5">
        <f t="shared" si="1"/>
        <v>59</v>
      </c>
      <c r="D6" s="5">
        <v>10</v>
      </c>
      <c r="E6" s="5">
        <v>49</v>
      </c>
      <c r="F6" s="5">
        <f t="shared" si="2"/>
        <v>2</v>
      </c>
      <c r="G6" s="5">
        <v>0</v>
      </c>
      <c r="H6" s="5">
        <v>2</v>
      </c>
      <c r="I6" s="30"/>
      <c r="J6" s="30"/>
      <c r="K6" s="30"/>
      <c r="L6" s="30"/>
      <c r="M6" s="30"/>
      <c r="N6" s="30"/>
      <c r="O6" s="30"/>
    </row>
    <row r="7" spans="1:16" s="150" customFormat="1" ht="55.35" customHeight="1">
      <c r="A7" s="154" t="s">
        <v>401</v>
      </c>
      <c r="B7" s="5">
        <f t="shared" si="0"/>
        <v>43</v>
      </c>
      <c r="C7" s="5">
        <f t="shared" si="1"/>
        <v>42</v>
      </c>
      <c r="D7" s="5">
        <v>12</v>
      </c>
      <c r="E7" s="5">
        <v>30</v>
      </c>
      <c r="F7" s="5">
        <f t="shared" si="2"/>
        <v>1</v>
      </c>
      <c r="G7" s="5">
        <v>0</v>
      </c>
      <c r="H7" s="5">
        <v>1</v>
      </c>
      <c r="I7" s="30"/>
      <c r="J7" s="30"/>
      <c r="K7" s="30"/>
      <c r="L7" s="30"/>
      <c r="M7" s="30"/>
      <c r="N7" s="30"/>
      <c r="O7" s="30"/>
    </row>
    <row r="8" spans="1:16" ht="56.1" customHeight="1">
      <c r="A8" s="114" t="s">
        <v>92</v>
      </c>
      <c r="B8" s="5">
        <f t="shared" si="0"/>
        <v>0</v>
      </c>
      <c r="C8" s="5">
        <f t="shared" si="1"/>
        <v>0</v>
      </c>
      <c r="D8" s="5">
        <v>0</v>
      </c>
      <c r="E8" s="5">
        <v>0</v>
      </c>
      <c r="F8" s="5">
        <f t="shared" si="2"/>
        <v>0</v>
      </c>
      <c r="G8" s="5">
        <v>0</v>
      </c>
      <c r="H8" s="5">
        <v>0</v>
      </c>
    </row>
    <row r="9" spans="1:16" ht="56.1" customHeight="1">
      <c r="A9" s="114" t="s">
        <v>93</v>
      </c>
      <c r="B9" s="5">
        <f t="shared" si="0"/>
        <v>1</v>
      </c>
      <c r="C9" s="5">
        <f t="shared" si="1"/>
        <v>1</v>
      </c>
      <c r="D9" s="5">
        <v>1</v>
      </c>
      <c r="E9" s="5">
        <v>0</v>
      </c>
      <c r="F9" s="5">
        <f t="shared" si="2"/>
        <v>0</v>
      </c>
      <c r="G9" s="5">
        <v>0</v>
      </c>
      <c r="H9" s="5">
        <v>0</v>
      </c>
    </row>
    <row r="10" spans="1:16" ht="56.1" customHeight="1">
      <c r="A10" s="114" t="s">
        <v>192</v>
      </c>
      <c r="B10" s="5">
        <f t="shared" si="0"/>
        <v>2</v>
      </c>
      <c r="C10" s="5">
        <f t="shared" si="1"/>
        <v>2</v>
      </c>
      <c r="D10" s="5">
        <v>2</v>
      </c>
      <c r="E10" s="5">
        <v>0</v>
      </c>
      <c r="F10" s="5">
        <f t="shared" si="2"/>
        <v>0</v>
      </c>
      <c r="G10" s="5">
        <v>0</v>
      </c>
      <c r="H10" s="5">
        <v>0</v>
      </c>
    </row>
    <row r="11" spans="1:16" ht="56.1" customHeight="1">
      <c r="A11" s="114" t="s">
        <v>193</v>
      </c>
      <c r="B11" s="5">
        <f t="shared" si="0"/>
        <v>10</v>
      </c>
      <c r="C11" s="5">
        <f t="shared" si="1"/>
        <v>10</v>
      </c>
      <c r="D11" s="5">
        <v>8</v>
      </c>
      <c r="E11" s="5">
        <v>2</v>
      </c>
      <c r="F11" s="5">
        <f t="shared" si="2"/>
        <v>0</v>
      </c>
      <c r="G11" s="5">
        <v>0</v>
      </c>
      <c r="H11" s="5">
        <v>0</v>
      </c>
    </row>
    <row r="12" spans="1:16" ht="56.1" customHeight="1">
      <c r="A12" s="114" t="s">
        <v>194</v>
      </c>
      <c r="B12" s="5">
        <f t="shared" si="0"/>
        <v>23</v>
      </c>
      <c r="C12" s="5">
        <f t="shared" si="1"/>
        <v>22</v>
      </c>
      <c r="D12" s="5">
        <v>4</v>
      </c>
      <c r="E12" s="5">
        <v>18</v>
      </c>
      <c r="F12" s="5">
        <f t="shared" si="2"/>
        <v>1</v>
      </c>
      <c r="G12" s="5">
        <v>0</v>
      </c>
      <c r="H12" s="5">
        <v>1</v>
      </c>
    </row>
    <row r="13" spans="1:16" ht="56.1" customHeight="1">
      <c r="A13" s="114" t="s">
        <v>208</v>
      </c>
      <c r="B13" s="5">
        <f t="shared" si="0"/>
        <v>26</v>
      </c>
      <c r="C13" s="5">
        <f t="shared" si="1"/>
        <v>25</v>
      </c>
      <c r="D13" s="5">
        <v>4</v>
      </c>
      <c r="E13" s="5">
        <v>21</v>
      </c>
      <c r="F13" s="5">
        <f t="shared" si="2"/>
        <v>1</v>
      </c>
      <c r="G13" s="5">
        <v>0</v>
      </c>
      <c r="H13" s="5">
        <v>1</v>
      </c>
    </row>
    <row r="14" spans="1:16" ht="56.1" customHeight="1">
      <c r="A14" s="114" t="s">
        <v>209</v>
      </c>
      <c r="B14" s="5">
        <f t="shared" si="0"/>
        <v>21</v>
      </c>
      <c r="C14" s="5">
        <f t="shared" si="1"/>
        <v>20</v>
      </c>
      <c r="D14" s="5">
        <v>1</v>
      </c>
      <c r="E14" s="5">
        <v>19</v>
      </c>
      <c r="F14" s="5">
        <f t="shared" si="2"/>
        <v>1</v>
      </c>
      <c r="G14" s="5">
        <v>0</v>
      </c>
      <c r="H14" s="5">
        <v>1</v>
      </c>
    </row>
    <row r="15" spans="1:16" ht="56.1" customHeight="1">
      <c r="A15" s="114" t="s">
        <v>195</v>
      </c>
      <c r="B15" s="5">
        <f t="shared" si="0"/>
        <v>14</v>
      </c>
      <c r="C15" s="5">
        <f t="shared" si="1"/>
        <v>14</v>
      </c>
      <c r="D15" s="5">
        <v>1</v>
      </c>
      <c r="E15" s="5">
        <v>13</v>
      </c>
      <c r="F15" s="5">
        <f t="shared" si="2"/>
        <v>0</v>
      </c>
      <c r="G15" s="5">
        <v>0</v>
      </c>
      <c r="H15" s="5">
        <v>0</v>
      </c>
    </row>
    <row r="16" spans="1:16" ht="56.1" customHeight="1">
      <c r="A16" s="114" t="s">
        <v>210</v>
      </c>
      <c r="B16" s="5">
        <f t="shared" si="0"/>
        <v>7</v>
      </c>
      <c r="C16" s="5">
        <f t="shared" si="1"/>
        <v>7</v>
      </c>
      <c r="D16" s="5">
        <v>1</v>
      </c>
      <c r="E16" s="5">
        <v>6</v>
      </c>
      <c r="F16" s="5">
        <f t="shared" si="2"/>
        <v>0</v>
      </c>
      <c r="G16" s="5">
        <v>0</v>
      </c>
      <c r="H16" s="5">
        <v>0</v>
      </c>
    </row>
    <row r="17" spans="1:15" ht="56.1" customHeight="1">
      <c r="A17" s="103" t="s">
        <v>196</v>
      </c>
      <c r="B17" s="5">
        <f t="shared" si="0"/>
        <v>0</v>
      </c>
      <c r="C17" s="5">
        <f t="shared" si="1"/>
        <v>0</v>
      </c>
      <c r="D17" s="5">
        <v>0</v>
      </c>
      <c r="E17" s="5">
        <v>0</v>
      </c>
      <c r="F17" s="5">
        <f t="shared" si="2"/>
        <v>0</v>
      </c>
      <c r="G17" s="5">
        <v>0</v>
      </c>
      <c r="H17" s="5">
        <v>0</v>
      </c>
    </row>
    <row r="18" spans="1:15" s="680" customFormat="1" ht="28.5" customHeight="1">
      <c r="A18" s="838" t="s">
        <v>991</v>
      </c>
      <c r="B18" s="838"/>
      <c r="C18" s="838"/>
      <c r="D18" s="838"/>
      <c r="E18" s="838"/>
      <c r="F18" s="838"/>
      <c r="G18" s="838"/>
      <c r="H18" s="838"/>
      <c r="I18" s="838"/>
      <c r="J18" s="838"/>
      <c r="K18" s="838"/>
      <c r="L18" s="838"/>
      <c r="M18" s="838"/>
      <c r="N18" s="838"/>
      <c r="O18" s="838"/>
    </row>
    <row r="19" spans="1:15" ht="20.100000000000001" customHeight="1">
      <c r="A19" s="703" t="s">
        <v>1027</v>
      </c>
      <c r="B19" s="175">
        <f>B5-'[3]21撫卹(教)-性別'!B5</f>
        <v>0</v>
      </c>
      <c r="C19" s="175">
        <f>C5-'[3]21撫卹(教)-性別'!C5</f>
        <v>0</v>
      </c>
      <c r="D19" s="175">
        <f>D5-'[3]21撫卹(教)-性別'!D5</f>
        <v>0</v>
      </c>
      <c r="E19" s="175">
        <f>E5-'[3]21撫卹(教)-性別'!E5</f>
        <v>0</v>
      </c>
      <c r="F19" s="175">
        <f>F5-'[3]21撫卹(教)-性別'!F5</f>
        <v>0</v>
      </c>
      <c r="G19" s="175">
        <f>G5-'[3]21撫卹(教)-性別'!G5</f>
        <v>0</v>
      </c>
      <c r="H19" s="175">
        <f>H5-'[3]21撫卹(教)-性別'!H5</f>
        <v>0</v>
      </c>
    </row>
    <row r="20" spans="1:15">
      <c r="B20" s="175">
        <f>B6-'[3]21撫卹(教)-性別'!B6</f>
        <v>0</v>
      </c>
      <c r="C20" s="175">
        <f>C6-'[3]21撫卹(教)-性別'!C6</f>
        <v>0</v>
      </c>
      <c r="D20" s="175">
        <f>D6-'[3]21撫卹(教)-性別'!D6</f>
        <v>0</v>
      </c>
      <c r="E20" s="175">
        <f>E6-'[3]21撫卹(教)-性別'!E6</f>
        <v>0</v>
      </c>
      <c r="F20" s="175">
        <f>F6-'[3]21撫卹(教)-性別'!F6</f>
        <v>0</v>
      </c>
      <c r="G20" s="175">
        <f>G6-'[3]21撫卹(教)-性別'!G6</f>
        <v>0</v>
      </c>
      <c r="H20" s="175">
        <f>H6-'[3]21撫卹(教)-性別'!H6</f>
        <v>0</v>
      </c>
    </row>
    <row r="21" spans="1:15">
      <c r="B21" s="175">
        <f>B7-'[3]21撫卹(教)-性別'!B7</f>
        <v>0</v>
      </c>
      <c r="C21" s="175">
        <f>C7-'[3]21撫卹(教)-性別'!C7</f>
        <v>0</v>
      </c>
      <c r="D21" s="175">
        <f>D7-'[3]21撫卹(教)-性別'!D7</f>
        <v>0</v>
      </c>
      <c r="E21" s="175">
        <f>E7-'[3]21撫卹(教)-性別'!E7</f>
        <v>0</v>
      </c>
      <c r="F21" s="175">
        <f>F7-'[3]21撫卹(教)-性別'!F7</f>
        <v>0</v>
      </c>
      <c r="G21" s="175">
        <f>G7-'[3]21撫卹(教)-性別'!G7</f>
        <v>0</v>
      </c>
      <c r="H21" s="175">
        <f>H7-'[3]21撫卹(教)-性別'!H7</f>
        <v>0</v>
      </c>
    </row>
    <row r="22" spans="1:15">
      <c r="B22" s="175">
        <f>B8-'[3]21撫卹(教)-性別'!B8</f>
        <v>0</v>
      </c>
      <c r="C22" s="175">
        <f>C8-'[3]21撫卹(教)-性別'!C8</f>
        <v>0</v>
      </c>
      <c r="D22" s="175">
        <f>D8-'[3]21撫卹(教)-性別'!D8</f>
        <v>0</v>
      </c>
      <c r="E22" s="175">
        <f>E8-'[3]21撫卹(教)-性別'!E8</f>
        <v>0</v>
      </c>
      <c r="F22" s="175">
        <f>F8-'[3]21撫卹(教)-性別'!F8</f>
        <v>0</v>
      </c>
      <c r="G22" s="175">
        <f>G8-'[3]21撫卹(教)-性別'!G8</f>
        <v>0</v>
      </c>
      <c r="H22" s="175">
        <f>H8-'[3]21撫卹(教)-性別'!H8</f>
        <v>0</v>
      </c>
    </row>
    <row r="23" spans="1:15">
      <c r="B23" s="175">
        <f>B9-'[3]21撫卹(教)-性別'!B9</f>
        <v>0</v>
      </c>
      <c r="C23" s="175">
        <f>C9-'[3]21撫卹(教)-性別'!C9</f>
        <v>0</v>
      </c>
      <c r="D23" s="175">
        <f>D9-'[3]21撫卹(教)-性別'!D9</f>
        <v>0</v>
      </c>
      <c r="E23" s="175">
        <f>E9-'[3]21撫卹(教)-性別'!E9</f>
        <v>0</v>
      </c>
      <c r="F23" s="175">
        <f>F9-'[3]21撫卹(教)-性別'!F9</f>
        <v>0</v>
      </c>
      <c r="G23" s="175">
        <f>G9-'[3]21撫卹(教)-性別'!G9</f>
        <v>0</v>
      </c>
      <c r="H23" s="175">
        <f>H9-'[3]21撫卹(教)-性別'!H9</f>
        <v>0</v>
      </c>
    </row>
    <row r="24" spans="1:15">
      <c r="B24" s="175">
        <f>B10-'[3]21撫卹(教)-性別'!B10</f>
        <v>0</v>
      </c>
      <c r="C24" s="175">
        <f>C10-'[3]21撫卹(教)-性別'!C10</f>
        <v>0</v>
      </c>
      <c r="D24" s="175">
        <f>D10-'[3]21撫卹(教)-性別'!D10</f>
        <v>0</v>
      </c>
      <c r="E24" s="175">
        <f>E10-'[3]21撫卹(教)-性別'!E10</f>
        <v>0</v>
      </c>
      <c r="F24" s="175">
        <f>F10-'[3]21撫卹(教)-性別'!F10</f>
        <v>0</v>
      </c>
      <c r="G24" s="175">
        <f>G10-'[3]21撫卹(教)-性別'!G10</f>
        <v>0</v>
      </c>
      <c r="H24" s="175">
        <f>H10-'[3]21撫卹(教)-性別'!H10</f>
        <v>0</v>
      </c>
    </row>
    <row r="25" spans="1:15">
      <c r="B25" s="175">
        <f>B11-'[3]21撫卹(教)-性別'!B11</f>
        <v>0</v>
      </c>
      <c r="C25" s="175">
        <f>C11-'[3]21撫卹(教)-性別'!C11</f>
        <v>0</v>
      </c>
      <c r="D25" s="175">
        <f>D11-'[3]21撫卹(教)-性別'!D11</f>
        <v>0</v>
      </c>
      <c r="E25" s="175">
        <f>E11-'[3]21撫卹(教)-性別'!E11</f>
        <v>0</v>
      </c>
      <c r="F25" s="175">
        <f>F11-'[3]21撫卹(教)-性別'!F11</f>
        <v>0</v>
      </c>
      <c r="G25" s="175">
        <f>G11-'[3]21撫卹(教)-性別'!G11</f>
        <v>0</v>
      </c>
      <c r="H25" s="175">
        <f>H11-'[3]21撫卹(教)-性別'!H11</f>
        <v>0</v>
      </c>
    </row>
    <row r="26" spans="1:15">
      <c r="B26" s="175">
        <f>B12-'[3]21撫卹(教)-性別'!B12</f>
        <v>0</v>
      </c>
      <c r="C26" s="175">
        <f>C12-'[3]21撫卹(教)-性別'!C12</f>
        <v>0</v>
      </c>
      <c r="D26" s="175">
        <f>D12-'[3]21撫卹(教)-性別'!D12</f>
        <v>0</v>
      </c>
      <c r="E26" s="175">
        <f>E12-'[3]21撫卹(教)-性別'!E12</f>
        <v>0</v>
      </c>
      <c r="F26" s="175">
        <f>F12-'[3]21撫卹(教)-性別'!F12</f>
        <v>0</v>
      </c>
      <c r="G26" s="175">
        <f>G12-'[3]21撫卹(教)-性別'!G12</f>
        <v>0</v>
      </c>
      <c r="H26" s="175">
        <f>H12-'[3]21撫卹(教)-性別'!H12</f>
        <v>0</v>
      </c>
    </row>
    <row r="27" spans="1:15">
      <c r="B27" s="175">
        <f>B13-'[3]21撫卹(教)-性別'!B13</f>
        <v>0</v>
      </c>
      <c r="C27" s="175">
        <f>C13-'[3]21撫卹(教)-性別'!C13</f>
        <v>0</v>
      </c>
      <c r="D27" s="175">
        <f>D13-'[3]21撫卹(教)-性別'!D13</f>
        <v>0</v>
      </c>
      <c r="E27" s="175">
        <f>E13-'[3]21撫卹(教)-性別'!E13</f>
        <v>0</v>
      </c>
      <c r="F27" s="175">
        <f>F13-'[3]21撫卹(教)-性別'!F13</f>
        <v>0</v>
      </c>
      <c r="G27" s="175">
        <f>G13-'[3]21撫卹(教)-性別'!G13</f>
        <v>0</v>
      </c>
      <c r="H27" s="175">
        <f>H13-'[3]21撫卹(教)-性別'!H13</f>
        <v>0</v>
      </c>
    </row>
    <row r="28" spans="1:15">
      <c r="B28" s="175">
        <f>B14-'[3]21撫卹(教)-性別'!B14</f>
        <v>0</v>
      </c>
      <c r="C28" s="175">
        <f>C14-'[3]21撫卹(教)-性別'!C14</f>
        <v>0</v>
      </c>
      <c r="D28" s="175">
        <f>D14-'[3]21撫卹(教)-性別'!D14</f>
        <v>0</v>
      </c>
      <c r="E28" s="175">
        <f>E14-'[3]21撫卹(教)-性別'!E14</f>
        <v>0</v>
      </c>
      <c r="F28" s="175">
        <f>F14-'[3]21撫卹(教)-性別'!F14</f>
        <v>0</v>
      </c>
      <c r="G28" s="175">
        <f>G14-'[3]21撫卹(教)-性別'!G14</f>
        <v>0</v>
      </c>
      <c r="H28" s="175">
        <f>H14-'[3]21撫卹(教)-性別'!H14</f>
        <v>0</v>
      </c>
    </row>
    <row r="29" spans="1:15">
      <c r="B29" s="175">
        <f>B15-'[3]21撫卹(教)-性別'!B15</f>
        <v>0</v>
      </c>
      <c r="C29" s="175">
        <f>C15-'[3]21撫卹(教)-性別'!C15</f>
        <v>0</v>
      </c>
      <c r="D29" s="175">
        <f>D15-'[3]21撫卹(教)-性別'!D15</f>
        <v>0</v>
      </c>
      <c r="E29" s="175">
        <f>E15-'[3]21撫卹(教)-性別'!E15</f>
        <v>0</v>
      </c>
      <c r="F29" s="175">
        <f>F15-'[3]21撫卹(教)-性別'!F15</f>
        <v>0</v>
      </c>
      <c r="G29" s="175">
        <f>G15-'[3]21撫卹(教)-性別'!G15</f>
        <v>0</v>
      </c>
      <c r="H29" s="175">
        <f>H15-'[3]21撫卹(教)-性別'!H15</f>
        <v>0</v>
      </c>
    </row>
    <row r="30" spans="1:15">
      <c r="B30" s="175">
        <f>B16-'[3]21撫卹(教)-性別'!B16</f>
        <v>0</v>
      </c>
      <c r="C30" s="175">
        <f>C16-'[3]21撫卹(教)-性別'!C16</f>
        <v>0</v>
      </c>
      <c r="D30" s="175">
        <f>D16-'[3]21撫卹(教)-性別'!D16</f>
        <v>0</v>
      </c>
      <c r="E30" s="175">
        <f>E16-'[3]21撫卹(教)-性別'!E16</f>
        <v>0</v>
      </c>
      <c r="F30" s="175">
        <f>F16-'[3]21撫卹(教)-性別'!F16</f>
        <v>0</v>
      </c>
      <c r="G30" s="175">
        <f>G16-'[3]21撫卹(教)-性別'!G16</f>
        <v>0</v>
      </c>
      <c r="H30" s="175">
        <f>H16-'[3]21撫卹(教)-性別'!H16</f>
        <v>0</v>
      </c>
    </row>
    <row r="31" spans="1:15">
      <c r="B31" s="175">
        <f>B17-'[3]21撫卹(教)-性別'!B17</f>
        <v>0</v>
      </c>
      <c r="C31" s="175">
        <f>C17-'[3]21撫卹(教)-性別'!C17</f>
        <v>0</v>
      </c>
      <c r="D31" s="175">
        <f>D17-'[3]21撫卹(教)-性別'!D17</f>
        <v>0</v>
      </c>
      <c r="E31" s="175">
        <f>E17-'[3]21撫卹(教)-性別'!E17</f>
        <v>0</v>
      </c>
      <c r="F31" s="175">
        <f>F17-'[3]21撫卹(教)-性別'!F17</f>
        <v>0</v>
      </c>
      <c r="G31" s="175">
        <f>G17-'[3]21撫卹(教)-性別'!G17</f>
        <v>0</v>
      </c>
      <c r="H31" s="175">
        <f>H17-'[3]21撫卹(教)-性別'!H17</f>
        <v>0</v>
      </c>
    </row>
  </sheetData>
  <mergeCells count="7">
    <mergeCell ref="A18:O18"/>
    <mergeCell ref="A1:H1"/>
    <mergeCell ref="A2:G2"/>
    <mergeCell ref="A3:A4"/>
    <mergeCell ref="B3:B4"/>
    <mergeCell ref="C3:E3"/>
    <mergeCell ref="F3:H3"/>
  </mergeCells>
  <phoneticPr fontId="3" type="noConversion"/>
  <pageMargins left="0.62992125984251968" right="0" top="0.59055118110236227" bottom="0.35433070866141736" header="0" footer="0"/>
  <pageSetup paperSize="9" scale="91" orientation="portrait" r:id="rId1"/>
  <headerFooter alignWithMargins="0"/>
</worksheet>
</file>

<file path=xl/worksheets/sheet24.xml><?xml version="1.0" encoding="utf-8"?>
<worksheet xmlns="http://schemas.openxmlformats.org/spreadsheetml/2006/main" xmlns:r="http://schemas.openxmlformats.org/officeDocument/2006/relationships">
  <sheetPr>
    <tabColor indexed="13"/>
    <pageSetUpPr fitToPage="1"/>
  </sheetPr>
  <dimension ref="A1:P31"/>
  <sheetViews>
    <sheetView view="pageBreakPreview" zoomScale="90" zoomScaleNormal="100" zoomScaleSheetLayoutView="90"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9.125" style="26" customWidth="1"/>
    <col min="2" max="2" width="9.625" style="1" customWidth="1"/>
    <col min="3" max="3" width="10.625" style="1" customWidth="1"/>
    <col min="4" max="4" width="11.875" style="1" customWidth="1"/>
    <col min="5" max="5" width="13.125" style="1" bestFit="1" customWidth="1"/>
    <col min="6" max="6" width="10.625" style="1" customWidth="1"/>
    <col min="7" max="7" width="11.875" style="1" customWidth="1"/>
    <col min="8" max="8" width="13.125" style="1" bestFit="1" customWidth="1"/>
    <col min="9" max="16384" width="9" style="15"/>
  </cols>
  <sheetData>
    <row r="1" spans="1:16" ht="33" customHeight="1">
      <c r="A1" s="778" t="s">
        <v>276</v>
      </c>
      <c r="B1" s="778"/>
      <c r="C1" s="778"/>
      <c r="D1" s="778"/>
      <c r="E1" s="778"/>
      <c r="F1" s="778"/>
      <c r="G1" s="778"/>
      <c r="H1" s="778"/>
    </row>
    <row r="2" spans="1:16" ht="33" customHeight="1">
      <c r="A2" s="792" t="s">
        <v>410</v>
      </c>
      <c r="B2" s="792"/>
      <c r="C2" s="792"/>
      <c r="D2" s="792"/>
      <c r="E2" s="792"/>
      <c r="F2" s="792"/>
      <c r="G2" s="792"/>
      <c r="H2" s="792"/>
    </row>
    <row r="3" spans="1:16" ht="34.5" customHeight="1">
      <c r="A3" s="808" t="s">
        <v>277</v>
      </c>
      <c r="B3" s="817" t="s">
        <v>278</v>
      </c>
      <c r="C3" s="812" t="s">
        <v>197</v>
      </c>
      <c r="D3" s="824"/>
      <c r="E3" s="824"/>
      <c r="F3" s="812" t="s">
        <v>198</v>
      </c>
      <c r="G3" s="824"/>
      <c r="H3" s="824"/>
      <c r="I3" s="16"/>
    </row>
    <row r="4" spans="1:16" ht="34.5" customHeight="1">
      <c r="A4" s="868"/>
      <c r="B4" s="869"/>
      <c r="C4" s="510" t="s">
        <v>58</v>
      </c>
      <c r="D4" s="510" t="s">
        <v>83</v>
      </c>
      <c r="E4" s="509" t="s">
        <v>347</v>
      </c>
      <c r="F4" s="510" t="s">
        <v>58</v>
      </c>
      <c r="G4" s="510" t="s">
        <v>83</v>
      </c>
      <c r="H4" s="509" t="s">
        <v>347</v>
      </c>
      <c r="I4" s="52"/>
      <c r="J4" s="2" t="s">
        <v>1023</v>
      </c>
    </row>
    <row r="5" spans="1:16" ht="56.1" customHeight="1">
      <c r="A5" s="42" t="s">
        <v>278</v>
      </c>
      <c r="B5" s="5">
        <f t="shared" ref="B5:B17" si="0">C5+F5</f>
        <v>69</v>
      </c>
      <c r="C5" s="5">
        <f t="shared" ref="C5:C17" si="1">SUM(D5:E5)</f>
        <v>57</v>
      </c>
      <c r="D5" s="5">
        <f>SUM(D8:D17)</f>
        <v>0</v>
      </c>
      <c r="E5" s="5">
        <f>SUM(E8:E17)</f>
        <v>57</v>
      </c>
      <c r="F5" s="5">
        <f t="shared" ref="F5:F17" si="2">SUM(G5:H5)</f>
        <v>12</v>
      </c>
      <c r="G5" s="5">
        <f>SUM(G8:G17)</f>
        <v>0</v>
      </c>
      <c r="H5" s="5">
        <f>SUM(H8:H17)</f>
        <v>12</v>
      </c>
      <c r="I5" s="118">
        <f>B5-'9歷年退離(軍)-OK'!F17</f>
        <v>0</v>
      </c>
      <c r="J5" s="118">
        <f>SUM(B6:B7)-B5</f>
        <v>0</v>
      </c>
      <c r="K5" s="118">
        <f t="shared" ref="K5:P5" si="3">SUM(C6:C7)-C5</f>
        <v>0</v>
      </c>
      <c r="L5" s="118">
        <f t="shared" si="3"/>
        <v>0</v>
      </c>
      <c r="M5" s="118">
        <f t="shared" si="3"/>
        <v>0</v>
      </c>
      <c r="N5" s="118">
        <f t="shared" si="3"/>
        <v>0</v>
      </c>
      <c r="O5" s="118">
        <f t="shared" si="3"/>
        <v>0</v>
      </c>
      <c r="P5" s="118">
        <f t="shared" si="3"/>
        <v>0</v>
      </c>
    </row>
    <row r="6" spans="1:16" s="150" customFormat="1" ht="55.35" customHeight="1">
      <c r="A6" s="154" t="s">
        <v>399</v>
      </c>
      <c r="B6" s="5">
        <f t="shared" si="0"/>
        <v>63</v>
      </c>
      <c r="C6" s="5">
        <f t="shared" si="1"/>
        <v>53</v>
      </c>
      <c r="D6" s="5">
        <v>0</v>
      </c>
      <c r="E6" s="5">
        <v>53</v>
      </c>
      <c r="F6" s="5">
        <f t="shared" si="2"/>
        <v>10</v>
      </c>
      <c r="G6" s="5">
        <v>0</v>
      </c>
      <c r="H6" s="5">
        <v>10</v>
      </c>
      <c r="I6" s="30"/>
      <c r="J6" s="30"/>
      <c r="K6" s="30"/>
      <c r="L6" s="30"/>
      <c r="M6" s="30"/>
      <c r="N6" s="30"/>
      <c r="O6" s="30"/>
    </row>
    <row r="7" spans="1:16" s="150" customFormat="1" ht="55.35" customHeight="1">
      <c r="A7" s="154" t="s">
        <v>401</v>
      </c>
      <c r="B7" s="5">
        <f t="shared" si="0"/>
        <v>6</v>
      </c>
      <c r="C7" s="5">
        <f t="shared" si="1"/>
        <v>4</v>
      </c>
      <c r="D7" s="5">
        <v>0</v>
      </c>
      <c r="E7" s="5">
        <v>4</v>
      </c>
      <c r="F7" s="5">
        <f t="shared" si="2"/>
        <v>2</v>
      </c>
      <c r="G7" s="5">
        <v>0</v>
      </c>
      <c r="H7" s="5">
        <v>2</v>
      </c>
      <c r="I7" s="30"/>
      <c r="J7" s="30"/>
      <c r="K7" s="30"/>
      <c r="L7" s="30"/>
      <c r="M7" s="30"/>
      <c r="N7" s="30"/>
      <c r="O7" s="30"/>
    </row>
    <row r="8" spans="1:16" ht="56.1" customHeight="1">
      <c r="A8" s="114" t="s">
        <v>280</v>
      </c>
      <c r="B8" s="5">
        <f t="shared" si="0"/>
        <v>41</v>
      </c>
      <c r="C8" s="5">
        <f t="shared" si="1"/>
        <v>35</v>
      </c>
      <c r="D8" s="5">
        <v>0</v>
      </c>
      <c r="E8" s="5">
        <v>35</v>
      </c>
      <c r="F8" s="5">
        <f t="shared" si="2"/>
        <v>6</v>
      </c>
      <c r="G8" s="5">
        <v>0</v>
      </c>
      <c r="H8" s="5">
        <v>6</v>
      </c>
    </row>
    <row r="9" spans="1:16" ht="56.1" customHeight="1">
      <c r="A9" s="114" t="s">
        <v>281</v>
      </c>
      <c r="B9" s="5">
        <f t="shared" si="0"/>
        <v>10</v>
      </c>
      <c r="C9" s="5">
        <f t="shared" si="1"/>
        <v>9</v>
      </c>
      <c r="D9" s="5">
        <v>0</v>
      </c>
      <c r="E9" s="5">
        <v>9</v>
      </c>
      <c r="F9" s="5">
        <f t="shared" si="2"/>
        <v>1</v>
      </c>
      <c r="G9" s="5">
        <v>0</v>
      </c>
      <c r="H9" s="5">
        <v>1</v>
      </c>
    </row>
    <row r="10" spans="1:16" ht="56.1" customHeight="1">
      <c r="A10" s="114" t="s">
        <v>282</v>
      </c>
      <c r="B10" s="5">
        <f t="shared" si="0"/>
        <v>5</v>
      </c>
      <c r="C10" s="5">
        <f t="shared" si="1"/>
        <v>5</v>
      </c>
      <c r="D10" s="5">
        <v>0</v>
      </c>
      <c r="E10" s="5">
        <v>5</v>
      </c>
      <c r="F10" s="5">
        <f t="shared" si="2"/>
        <v>0</v>
      </c>
      <c r="G10" s="5">
        <v>0</v>
      </c>
      <c r="H10" s="5">
        <v>0</v>
      </c>
    </row>
    <row r="11" spans="1:16" ht="56.1" customHeight="1">
      <c r="A11" s="114" t="s">
        <v>283</v>
      </c>
      <c r="B11" s="5">
        <f t="shared" si="0"/>
        <v>8</v>
      </c>
      <c r="C11" s="5">
        <f t="shared" si="1"/>
        <v>3</v>
      </c>
      <c r="D11" s="5">
        <v>0</v>
      </c>
      <c r="E11" s="5">
        <v>3</v>
      </c>
      <c r="F11" s="5">
        <f t="shared" si="2"/>
        <v>5</v>
      </c>
      <c r="G11" s="5">
        <v>0</v>
      </c>
      <c r="H11" s="5">
        <v>5</v>
      </c>
    </row>
    <row r="12" spans="1:16" ht="56.1" customHeight="1">
      <c r="A12" s="114" t="s">
        <v>284</v>
      </c>
      <c r="B12" s="5">
        <f t="shared" si="0"/>
        <v>2</v>
      </c>
      <c r="C12" s="5">
        <f t="shared" si="1"/>
        <v>2</v>
      </c>
      <c r="D12" s="5">
        <v>0</v>
      </c>
      <c r="E12" s="5">
        <v>2</v>
      </c>
      <c r="F12" s="5">
        <f t="shared" si="2"/>
        <v>0</v>
      </c>
      <c r="G12" s="5">
        <v>0</v>
      </c>
      <c r="H12" s="5">
        <v>0</v>
      </c>
    </row>
    <row r="13" spans="1:16" ht="56.1" customHeight="1">
      <c r="A13" s="114" t="s">
        <v>285</v>
      </c>
      <c r="B13" s="5">
        <f t="shared" si="0"/>
        <v>1</v>
      </c>
      <c r="C13" s="5">
        <f t="shared" si="1"/>
        <v>1</v>
      </c>
      <c r="D13" s="5">
        <v>0</v>
      </c>
      <c r="E13" s="5">
        <v>1</v>
      </c>
      <c r="F13" s="5">
        <f t="shared" si="2"/>
        <v>0</v>
      </c>
      <c r="G13" s="5">
        <v>0</v>
      </c>
      <c r="H13" s="5">
        <v>0</v>
      </c>
    </row>
    <row r="14" spans="1:16" ht="56.1" customHeight="1">
      <c r="A14" s="114" t="s">
        <v>286</v>
      </c>
      <c r="B14" s="5">
        <f t="shared" si="0"/>
        <v>2</v>
      </c>
      <c r="C14" s="5">
        <f t="shared" si="1"/>
        <v>2</v>
      </c>
      <c r="D14" s="5">
        <v>0</v>
      </c>
      <c r="E14" s="5">
        <v>2</v>
      </c>
      <c r="F14" s="5">
        <f t="shared" si="2"/>
        <v>0</v>
      </c>
      <c r="G14" s="5">
        <v>0</v>
      </c>
      <c r="H14" s="5">
        <v>0</v>
      </c>
    </row>
    <row r="15" spans="1:16" ht="56.1" customHeight="1">
      <c r="A15" s="114" t="s">
        <v>287</v>
      </c>
      <c r="B15" s="5">
        <f t="shared" si="0"/>
        <v>0</v>
      </c>
      <c r="C15" s="5">
        <f t="shared" si="1"/>
        <v>0</v>
      </c>
      <c r="D15" s="5">
        <v>0</v>
      </c>
      <c r="E15" s="5">
        <v>0</v>
      </c>
      <c r="F15" s="5">
        <f t="shared" si="2"/>
        <v>0</v>
      </c>
      <c r="G15" s="5">
        <v>0</v>
      </c>
      <c r="H15" s="5">
        <v>0</v>
      </c>
    </row>
    <row r="16" spans="1:16" ht="56.1" customHeight="1">
      <c r="A16" s="114" t="s">
        <v>288</v>
      </c>
      <c r="B16" s="5">
        <f t="shared" si="0"/>
        <v>0</v>
      </c>
      <c r="C16" s="5">
        <f t="shared" si="1"/>
        <v>0</v>
      </c>
      <c r="D16" s="5">
        <v>0</v>
      </c>
      <c r="E16" s="5">
        <v>0</v>
      </c>
      <c r="F16" s="5">
        <f t="shared" si="2"/>
        <v>0</v>
      </c>
      <c r="G16" s="5">
        <v>0</v>
      </c>
      <c r="H16" s="5">
        <v>0</v>
      </c>
    </row>
    <row r="17" spans="1:8" ht="56.1" customHeight="1">
      <c r="A17" s="103" t="s">
        <v>289</v>
      </c>
      <c r="B17" s="5">
        <f t="shared" si="0"/>
        <v>0</v>
      </c>
      <c r="C17" s="5">
        <f t="shared" si="1"/>
        <v>0</v>
      </c>
      <c r="D17" s="5">
        <v>0</v>
      </c>
      <c r="E17" s="5">
        <v>0</v>
      </c>
      <c r="F17" s="5">
        <f t="shared" si="2"/>
        <v>0</v>
      </c>
      <c r="G17" s="5">
        <v>0</v>
      </c>
      <c r="H17" s="5">
        <v>0</v>
      </c>
    </row>
    <row r="18" spans="1:8" ht="20.100000000000001" customHeight="1">
      <c r="A18" s="833" t="s">
        <v>290</v>
      </c>
      <c r="B18" s="834"/>
      <c r="C18" s="834"/>
      <c r="D18" s="834"/>
      <c r="E18" s="834"/>
      <c r="F18" s="834"/>
      <c r="G18" s="834"/>
      <c r="H18" s="834"/>
    </row>
    <row r="19" spans="1:8" ht="20.100000000000001" customHeight="1">
      <c r="A19" s="703" t="s">
        <v>1027</v>
      </c>
      <c r="B19" s="175">
        <f>B5-'[3]22撫卹(軍)-性別'!B5</f>
        <v>0</v>
      </c>
      <c r="C19" s="175">
        <f>C5-'[3]22撫卹(軍)-性別'!C5</f>
        <v>0</v>
      </c>
      <c r="D19" s="175">
        <f>D5-'[3]22撫卹(軍)-性別'!D5</f>
        <v>0</v>
      </c>
      <c r="E19" s="175">
        <f>E5-'[3]22撫卹(軍)-性別'!E5</f>
        <v>0</v>
      </c>
      <c r="F19" s="175">
        <f>F5-'[3]22撫卹(軍)-性別'!F5</f>
        <v>0</v>
      </c>
      <c r="G19" s="175">
        <f>G5-'[3]22撫卹(軍)-性別'!G5</f>
        <v>0</v>
      </c>
      <c r="H19" s="175">
        <f>H5-'[3]22撫卹(軍)-性別'!H5</f>
        <v>0</v>
      </c>
    </row>
    <row r="20" spans="1:8">
      <c r="B20" s="175">
        <f>B6-'[3]22撫卹(軍)-性別'!B6</f>
        <v>0</v>
      </c>
      <c r="C20" s="175">
        <f>C6-'[3]22撫卹(軍)-性別'!C6</f>
        <v>0</v>
      </c>
      <c r="D20" s="175">
        <f>D6-'[3]22撫卹(軍)-性別'!D6</f>
        <v>0</v>
      </c>
      <c r="E20" s="175">
        <f>E6-'[3]22撫卹(軍)-性別'!E6</f>
        <v>0</v>
      </c>
      <c r="F20" s="175">
        <f>F6-'[3]22撫卹(軍)-性別'!F6</f>
        <v>0</v>
      </c>
      <c r="G20" s="175">
        <f>G6-'[3]22撫卹(軍)-性別'!G6</f>
        <v>0</v>
      </c>
      <c r="H20" s="175">
        <f>H6-'[3]22撫卹(軍)-性別'!H6</f>
        <v>0</v>
      </c>
    </row>
    <row r="21" spans="1:8">
      <c r="B21" s="175">
        <f>B7-'[3]22撫卹(軍)-性別'!B7</f>
        <v>0</v>
      </c>
      <c r="C21" s="175">
        <f>C7-'[3]22撫卹(軍)-性別'!C7</f>
        <v>0</v>
      </c>
      <c r="D21" s="175">
        <f>D7-'[3]22撫卹(軍)-性別'!D7</f>
        <v>0</v>
      </c>
      <c r="E21" s="175">
        <f>E7-'[3]22撫卹(軍)-性別'!E7</f>
        <v>0</v>
      </c>
      <c r="F21" s="175">
        <f>F7-'[3]22撫卹(軍)-性別'!F7</f>
        <v>0</v>
      </c>
      <c r="G21" s="175">
        <f>G7-'[3]22撫卹(軍)-性別'!G7</f>
        <v>0</v>
      </c>
      <c r="H21" s="175">
        <f>H7-'[3]22撫卹(軍)-性別'!H7</f>
        <v>0</v>
      </c>
    </row>
    <row r="22" spans="1:8">
      <c r="B22" s="175">
        <f>B8-'[3]22撫卹(軍)-性別'!B8</f>
        <v>0</v>
      </c>
      <c r="C22" s="175">
        <f>C8-'[3]22撫卹(軍)-性別'!C8</f>
        <v>0</v>
      </c>
      <c r="D22" s="175">
        <f>D8-'[3]22撫卹(軍)-性別'!D8</f>
        <v>0</v>
      </c>
      <c r="E22" s="175">
        <f>E8-'[3]22撫卹(軍)-性別'!E8</f>
        <v>0</v>
      </c>
      <c r="F22" s="175">
        <f>F8-'[3]22撫卹(軍)-性別'!F8</f>
        <v>0</v>
      </c>
      <c r="G22" s="175">
        <f>G8-'[3]22撫卹(軍)-性別'!G8</f>
        <v>0</v>
      </c>
      <c r="H22" s="175">
        <f>H8-'[3]22撫卹(軍)-性別'!H8</f>
        <v>0</v>
      </c>
    </row>
    <row r="23" spans="1:8">
      <c r="B23" s="175">
        <f>B9-'[3]22撫卹(軍)-性別'!B9</f>
        <v>0</v>
      </c>
      <c r="C23" s="175">
        <f>C9-'[3]22撫卹(軍)-性別'!C9</f>
        <v>0</v>
      </c>
      <c r="D23" s="175">
        <f>D9-'[3]22撫卹(軍)-性別'!D9</f>
        <v>0</v>
      </c>
      <c r="E23" s="175">
        <f>E9-'[3]22撫卹(軍)-性別'!E9</f>
        <v>0</v>
      </c>
      <c r="F23" s="175">
        <f>F9-'[3]22撫卹(軍)-性別'!F9</f>
        <v>0</v>
      </c>
      <c r="G23" s="175">
        <f>G9-'[3]22撫卹(軍)-性別'!G9</f>
        <v>0</v>
      </c>
      <c r="H23" s="175">
        <f>H9-'[3]22撫卹(軍)-性別'!H9</f>
        <v>0</v>
      </c>
    </row>
    <row r="24" spans="1:8">
      <c r="B24" s="175">
        <f>B10-'[3]22撫卹(軍)-性別'!B10</f>
        <v>0</v>
      </c>
      <c r="C24" s="175">
        <f>C10-'[3]22撫卹(軍)-性別'!C10</f>
        <v>0</v>
      </c>
      <c r="D24" s="175">
        <f>D10-'[3]22撫卹(軍)-性別'!D10</f>
        <v>0</v>
      </c>
      <c r="E24" s="175">
        <f>E10-'[3]22撫卹(軍)-性別'!E10</f>
        <v>0</v>
      </c>
      <c r="F24" s="175">
        <f>F10-'[3]22撫卹(軍)-性別'!F10</f>
        <v>0</v>
      </c>
      <c r="G24" s="175">
        <f>G10-'[3]22撫卹(軍)-性別'!G10</f>
        <v>0</v>
      </c>
      <c r="H24" s="175">
        <f>H10-'[3]22撫卹(軍)-性別'!H10</f>
        <v>0</v>
      </c>
    </row>
    <row r="25" spans="1:8">
      <c r="B25" s="175">
        <f>B11-'[3]22撫卹(軍)-性別'!B11</f>
        <v>0</v>
      </c>
      <c r="C25" s="175">
        <f>C11-'[3]22撫卹(軍)-性別'!C11</f>
        <v>0</v>
      </c>
      <c r="D25" s="175">
        <f>D11-'[3]22撫卹(軍)-性別'!D11</f>
        <v>0</v>
      </c>
      <c r="E25" s="175">
        <f>E11-'[3]22撫卹(軍)-性別'!E11</f>
        <v>0</v>
      </c>
      <c r="F25" s="175">
        <f>F11-'[3]22撫卹(軍)-性別'!F11</f>
        <v>0</v>
      </c>
      <c r="G25" s="175">
        <f>G11-'[3]22撫卹(軍)-性別'!G11</f>
        <v>0</v>
      </c>
      <c r="H25" s="175">
        <f>H11-'[3]22撫卹(軍)-性別'!H11</f>
        <v>0</v>
      </c>
    </row>
    <row r="26" spans="1:8">
      <c r="B26" s="175">
        <f>B12-'[3]22撫卹(軍)-性別'!B12</f>
        <v>0</v>
      </c>
      <c r="C26" s="175">
        <f>C12-'[3]22撫卹(軍)-性別'!C12</f>
        <v>0</v>
      </c>
      <c r="D26" s="175">
        <f>D12-'[3]22撫卹(軍)-性別'!D12</f>
        <v>0</v>
      </c>
      <c r="E26" s="175">
        <f>E12-'[3]22撫卹(軍)-性別'!E12</f>
        <v>0</v>
      </c>
      <c r="F26" s="175">
        <f>F12-'[3]22撫卹(軍)-性別'!F12</f>
        <v>0</v>
      </c>
      <c r="G26" s="175">
        <f>G12-'[3]22撫卹(軍)-性別'!G12</f>
        <v>0</v>
      </c>
      <c r="H26" s="175">
        <f>H12-'[3]22撫卹(軍)-性別'!H12</f>
        <v>0</v>
      </c>
    </row>
    <row r="27" spans="1:8">
      <c r="B27" s="175">
        <f>B13-'[3]22撫卹(軍)-性別'!B13</f>
        <v>0</v>
      </c>
      <c r="C27" s="175">
        <f>C13-'[3]22撫卹(軍)-性別'!C13</f>
        <v>0</v>
      </c>
      <c r="D27" s="175">
        <f>D13-'[3]22撫卹(軍)-性別'!D13</f>
        <v>0</v>
      </c>
      <c r="E27" s="175">
        <f>E13-'[3]22撫卹(軍)-性別'!E13</f>
        <v>0</v>
      </c>
      <c r="F27" s="175">
        <f>F13-'[3]22撫卹(軍)-性別'!F13</f>
        <v>0</v>
      </c>
      <c r="G27" s="175">
        <f>G13-'[3]22撫卹(軍)-性別'!G13</f>
        <v>0</v>
      </c>
      <c r="H27" s="175">
        <f>H13-'[3]22撫卹(軍)-性別'!H13</f>
        <v>0</v>
      </c>
    </row>
    <row r="28" spans="1:8">
      <c r="B28" s="175">
        <f>B14-'[3]22撫卹(軍)-性別'!B14</f>
        <v>0</v>
      </c>
      <c r="C28" s="175">
        <f>C14-'[3]22撫卹(軍)-性別'!C14</f>
        <v>0</v>
      </c>
      <c r="D28" s="175">
        <f>D14-'[3]22撫卹(軍)-性別'!D14</f>
        <v>0</v>
      </c>
      <c r="E28" s="175">
        <f>E14-'[3]22撫卹(軍)-性別'!E14</f>
        <v>0</v>
      </c>
      <c r="F28" s="175">
        <f>F14-'[3]22撫卹(軍)-性別'!F14</f>
        <v>0</v>
      </c>
      <c r="G28" s="175">
        <f>G14-'[3]22撫卹(軍)-性別'!G14</f>
        <v>0</v>
      </c>
      <c r="H28" s="175">
        <f>H14-'[3]22撫卹(軍)-性別'!H14</f>
        <v>0</v>
      </c>
    </row>
    <row r="29" spans="1:8">
      <c r="B29" s="175">
        <f>B15-'[3]22撫卹(軍)-性別'!B15</f>
        <v>0</v>
      </c>
      <c r="C29" s="175">
        <f>C15-'[3]22撫卹(軍)-性別'!C15</f>
        <v>0</v>
      </c>
      <c r="D29" s="175">
        <f>D15-'[3]22撫卹(軍)-性別'!D15</f>
        <v>0</v>
      </c>
      <c r="E29" s="175">
        <f>E15-'[3]22撫卹(軍)-性別'!E15</f>
        <v>0</v>
      </c>
      <c r="F29" s="175">
        <f>F15-'[3]22撫卹(軍)-性別'!F15</f>
        <v>0</v>
      </c>
      <c r="G29" s="175">
        <f>G15-'[3]22撫卹(軍)-性別'!G15</f>
        <v>0</v>
      </c>
      <c r="H29" s="175">
        <f>H15-'[3]22撫卹(軍)-性別'!H15</f>
        <v>0</v>
      </c>
    </row>
    <row r="30" spans="1:8">
      <c r="B30" s="175">
        <f>B16-'[3]22撫卹(軍)-性別'!B16</f>
        <v>0</v>
      </c>
      <c r="C30" s="175">
        <f>C16-'[3]22撫卹(軍)-性別'!C16</f>
        <v>0</v>
      </c>
      <c r="D30" s="175">
        <f>D16-'[3]22撫卹(軍)-性別'!D16</f>
        <v>0</v>
      </c>
      <c r="E30" s="175">
        <f>E16-'[3]22撫卹(軍)-性別'!E16</f>
        <v>0</v>
      </c>
      <c r="F30" s="175">
        <f>F16-'[3]22撫卹(軍)-性別'!F16</f>
        <v>0</v>
      </c>
      <c r="G30" s="175">
        <f>G16-'[3]22撫卹(軍)-性別'!G16</f>
        <v>0</v>
      </c>
      <c r="H30" s="175">
        <f>H16-'[3]22撫卹(軍)-性別'!H16</f>
        <v>0</v>
      </c>
    </row>
    <row r="31" spans="1:8">
      <c r="B31" s="175">
        <f>B17-'[3]22撫卹(軍)-性別'!B17</f>
        <v>0</v>
      </c>
      <c r="C31" s="175">
        <f>C17-'[3]22撫卹(軍)-性別'!C17</f>
        <v>0</v>
      </c>
      <c r="D31" s="175">
        <f>D17-'[3]22撫卹(軍)-性別'!D17</f>
        <v>0</v>
      </c>
      <c r="E31" s="175">
        <f>E17-'[3]22撫卹(軍)-性別'!E17</f>
        <v>0</v>
      </c>
      <c r="F31" s="175">
        <f>F17-'[3]22撫卹(軍)-性別'!F17</f>
        <v>0</v>
      </c>
      <c r="G31" s="175">
        <f>G17-'[3]22撫卹(軍)-性別'!G17</f>
        <v>0</v>
      </c>
      <c r="H31" s="175">
        <f>H17-'[3]22撫卹(軍)-性別'!H17</f>
        <v>0</v>
      </c>
    </row>
  </sheetData>
  <mergeCells count="7">
    <mergeCell ref="A18:H18"/>
    <mergeCell ref="A1:H1"/>
    <mergeCell ref="A2:H2"/>
    <mergeCell ref="A3:A4"/>
    <mergeCell ref="B3:B4"/>
    <mergeCell ref="C3:E3"/>
    <mergeCell ref="F3:H3"/>
  </mergeCells>
  <phoneticPr fontId="3" type="noConversion"/>
  <pageMargins left="0.62992125984251968" right="0" top="0.59055118110236227" bottom="0.33" header="0" footer="0"/>
  <pageSetup paperSize="9" scale="93" orientation="portrait" r:id="rId1"/>
  <headerFooter alignWithMargins="0"/>
</worksheet>
</file>

<file path=xl/worksheets/sheet25.xml><?xml version="1.0" encoding="utf-8"?>
<worksheet xmlns="http://schemas.openxmlformats.org/spreadsheetml/2006/main" xmlns:r="http://schemas.openxmlformats.org/officeDocument/2006/relationships">
  <sheetPr>
    <tabColor rgb="FFFFFF00"/>
  </sheetPr>
  <dimension ref="A1:AF65"/>
  <sheetViews>
    <sheetView view="pageBreakPreview" zoomScale="90" zoomScaleNormal="100" zoomScaleSheetLayoutView="90"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9.875" style="26" customWidth="1"/>
    <col min="2" max="6" width="10.5" style="1" customWidth="1"/>
    <col min="7" max="7" width="11.5" style="1" customWidth="1"/>
    <col min="8" max="8" width="11.375" style="1" customWidth="1"/>
    <col min="9" max="16" width="10.5" style="1" customWidth="1"/>
    <col min="17" max="16384" width="9" style="15"/>
  </cols>
  <sheetData>
    <row r="1" spans="1:32" ht="30.2" customHeight="1">
      <c r="A1" s="787" t="s">
        <v>157</v>
      </c>
      <c r="B1" s="787"/>
      <c r="C1" s="787"/>
      <c r="D1" s="787"/>
      <c r="E1" s="787"/>
      <c r="F1" s="787"/>
      <c r="G1" s="787"/>
      <c r="H1" s="787"/>
      <c r="I1" s="699" t="s">
        <v>186</v>
      </c>
      <c r="J1" s="53"/>
      <c r="K1" s="53"/>
      <c r="L1" s="53"/>
      <c r="M1" s="53"/>
      <c r="N1" s="53"/>
      <c r="O1" s="53"/>
      <c r="P1" s="53"/>
    </row>
    <row r="2" spans="1:32" ht="30.2" customHeight="1">
      <c r="A2" s="788" t="s">
        <v>64</v>
      </c>
      <c r="B2" s="788"/>
      <c r="C2" s="788"/>
      <c r="D2" s="788"/>
      <c r="E2" s="788"/>
      <c r="F2" s="788"/>
      <c r="G2" s="788"/>
      <c r="H2" s="788"/>
      <c r="I2" s="697" t="s">
        <v>1005</v>
      </c>
      <c r="J2" s="697"/>
      <c r="K2" s="697"/>
      <c r="L2" s="697"/>
      <c r="M2" s="697"/>
      <c r="N2" s="697"/>
      <c r="O2" s="697"/>
      <c r="P2" s="54" t="s">
        <v>9</v>
      </c>
    </row>
    <row r="3" spans="1:32" ht="30.2" customHeight="1">
      <c r="A3" s="808" t="s">
        <v>48</v>
      </c>
      <c r="B3" s="871" t="s">
        <v>49</v>
      </c>
      <c r="C3" s="872"/>
      <c r="D3" s="873"/>
      <c r="E3" s="873"/>
      <c r="F3" s="874"/>
      <c r="G3" s="875" t="s">
        <v>158</v>
      </c>
      <c r="H3" s="876"/>
      <c r="I3" s="55" t="s">
        <v>159</v>
      </c>
      <c r="J3" s="56"/>
      <c r="K3" s="57"/>
      <c r="L3" s="812" t="s">
        <v>160</v>
      </c>
      <c r="M3" s="824"/>
      <c r="N3" s="824"/>
      <c r="O3" s="824"/>
      <c r="P3" s="824"/>
    </row>
    <row r="4" spans="1:32" ht="30.2" customHeight="1">
      <c r="A4" s="809"/>
      <c r="B4" s="695" t="s">
        <v>58</v>
      </c>
      <c r="C4" s="695" t="s">
        <v>86</v>
      </c>
      <c r="D4" s="695" t="s">
        <v>37</v>
      </c>
      <c r="E4" s="695" t="s">
        <v>38</v>
      </c>
      <c r="F4" s="695" t="s">
        <v>89</v>
      </c>
      <c r="G4" s="695" t="s">
        <v>58</v>
      </c>
      <c r="H4" s="698" t="s">
        <v>86</v>
      </c>
      <c r="I4" s="693" t="s">
        <v>87</v>
      </c>
      <c r="J4" s="698" t="s">
        <v>88</v>
      </c>
      <c r="K4" s="698" t="s">
        <v>89</v>
      </c>
      <c r="L4" s="695" t="s">
        <v>58</v>
      </c>
      <c r="M4" s="695" t="s">
        <v>86</v>
      </c>
      <c r="N4" s="695" t="s">
        <v>37</v>
      </c>
      <c r="O4" s="695" t="s">
        <v>38</v>
      </c>
      <c r="P4" s="698" t="s">
        <v>89</v>
      </c>
      <c r="R4" s="2" t="s">
        <v>1023</v>
      </c>
    </row>
    <row r="5" spans="1:32" ht="21.95" customHeight="1">
      <c r="A5" s="36" t="s">
        <v>49</v>
      </c>
      <c r="B5" s="31">
        <f t="shared" ref="B5:F22" si="0">G5+L5</f>
        <v>4154</v>
      </c>
      <c r="C5" s="31">
        <f t="shared" si="0"/>
        <v>0</v>
      </c>
      <c r="D5" s="31">
        <f t="shared" si="0"/>
        <v>929</v>
      </c>
      <c r="E5" s="31">
        <f t="shared" si="0"/>
        <v>174</v>
      </c>
      <c r="F5" s="31">
        <f t="shared" si="0"/>
        <v>3051</v>
      </c>
      <c r="G5" s="31">
        <f>SUM(H5:K5)</f>
        <v>4000</v>
      </c>
      <c r="H5" s="31">
        <f>SUM(H8:H33)</f>
        <v>0</v>
      </c>
      <c r="I5" s="31">
        <f>SUM(I8:I33)</f>
        <v>798</v>
      </c>
      <c r="J5" s="31">
        <f>SUM(J8:J33)</f>
        <v>173</v>
      </c>
      <c r="K5" s="31">
        <f>SUM(K8:K33)</f>
        <v>3029</v>
      </c>
      <c r="L5" s="31">
        <f t="shared" ref="L5:L33" si="1">SUM(M5:P5)</f>
        <v>154</v>
      </c>
      <c r="M5" s="31">
        <f>SUM(M8:M33)</f>
        <v>0</v>
      </c>
      <c r="N5" s="31">
        <f>SUM(N8:N33)</f>
        <v>131</v>
      </c>
      <c r="O5" s="31">
        <f>SUM(O8:O33)</f>
        <v>1</v>
      </c>
      <c r="P5" s="31">
        <f>SUM(P8:P33)</f>
        <v>22</v>
      </c>
      <c r="Q5" s="118">
        <f>B5-'[5]5歷年離退-OK'!B16</f>
        <v>0</v>
      </c>
      <c r="R5" s="118">
        <f>SUM(B6:B7)-B5</f>
        <v>0</v>
      </c>
      <c r="S5" s="118">
        <f t="shared" ref="S5:AA5" si="2">SUM(C6:C7)-C5</f>
        <v>0</v>
      </c>
      <c r="T5" s="118">
        <f t="shared" si="2"/>
        <v>0</v>
      </c>
      <c r="U5" s="118">
        <f t="shared" si="2"/>
        <v>0</v>
      </c>
      <c r="V5" s="118">
        <f t="shared" si="2"/>
        <v>0</v>
      </c>
      <c r="W5" s="118">
        <f t="shared" si="2"/>
        <v>0</v>
      </c>
      <c r="X5" s="118">
        <f t="shared" si="2"/>
        <v>0</v>
      </c>
      <c r="Y5" s="118">
        <f t="shared" si="2"/>
        <v>0</v>
      </c>
      <c r="Z5" s="118">
        <f t="shared" si="2"/>
        <v>0</v>
      </c>
      <c r="AA5" s="118">
        <f t="shared" si="2"/>
        <v>0</v>
      </c>
      <c r="AB5" s="118">
        <f>SUM(L6:L7)-L5</f>
        <v>0</v>
      </c>
      <c r="AC5" s="118">
        <f t="shared" ref="AC5" si="3">SUM(M6:M7)-M5</f>
        <v>0</v>
      </c>
      <c r="AD5" s="118">
        <f t="shared" ref="AD5" si="4">SUM(N6:N7)-N5</f>
        <v>0</v>
      </c>
      <c r="AE5" s="118">
        <f t="shared" ref="AE5" si="5">SUM(O6:O7)-O5</f>
        <v>0</v>
      </c>
      <c r="AF5" s="118">
        <f t="shared" ref="AF5" si="6">SUM(P6:P7)-P5</f>
        <v>0</v>
      </c>
    </row>
    <row r="6" spans="1:32" s="150" customFormat="1" ht="21.95" customHeight="1">
      <c r="A6" s="154" t="s">
        <v>399</v>
      </c>
      <c r="B6" s="31">
        <f t="shared" si="0"/>
        <v>3371</v>
      </c>
      <c r="C6" s="31">
        <f t="shared" si="0"/>
        <v>0</v>
      </c>
      <c r="D6" s="31">
        <f t="shared" si="0"/>
        <v>576</v>
      </c>
      <c r="E6" s="31">
        <f t="shared" si="0"/>
        <v>66</v>
      </c>
      <c r="F6" s="31">
        <f t="shared" si="0"/>
        <v>2729</v>
      </c>
      <c r="G6" s="31">
        <f t="shared" ref="G6:G33" si="7">SUM(H6:K6)</f>
        <v>3286</v>
      </c>
      <c r="H6" s="30">
        <v>0</v>
      </c>
      <c r="I6" s="31">
        <v>513</v>
      </c>
      <c r="J6" s="31">
        <v>66</v>
      </c>
      <c r="K6" s="31">
        <v>2707</v>
      </c>
      <c r="L6" s="31">
        <f t="shared" si="1"/>
        <v>85</v>
      </c>
      <c r="M6" s="30">
        <v>0</v>
      </c>
      <c r="N6" s="31">
        <v>63</v>
      </c>
      <c r="O6" s="31">
        <v>0</v>
      </c>
      <c r="P6" s="31">
        <v>22</v>
      </c>
    </row>
    <row r="7" spans="1:32" s="150" customFormat="1" ht="21.95" customHeight="1">
      <c r="A7" s="154" t="s">
        <v>401</v>
      </c>
      <c r="B7" s="31">
        <f t="shared" si="0"/>
        <v>783</v>
      </c>
      <c r="C7" s="31">
        <f t="shared" si="0"/>
        <v>0</v>
      </c>
      <c r="D7" s="31">
        <f t="shared" si="0"/>
        <v>353</v>
      </c>
      <c r="E7" s="31">
        <f t="shared" si="0"/>
        <v>108</v>
      </c>
      <c r="F7" s="31">
        <f t="shared" si="0"/>
        <v>322</v>
      </c>
      <c r="G7" s="31">
        <f t="shared" si="7"/>
        <v>714</v>
      </c>
      <c r="H7" s="30">
        <v>0</v>
      </c>
      <c r="I7" s="31">
        <v>285</v>
      </c>
      <c r="J7" s="31">
        <v>107</v>
      </c>
      <c r="K7" s="31">
        <v>322</v>
      </c>
      <c r="L7" s="31">
        <f t="shared" si="1"/>
        <v>69</v>
      </c>
      <c r="M7" s="30">
        <v>0</v>
      </c>
      <c r="N7" s="31">
        <v>68</v>
      </c>
      <c r="O7" s="31">
        <v>1</v>
      </c>
      <c r="P7" s="31">
        <v>0</v>
      </c>
    </row>
    <row r="8" spans="1:32" ht="21.95" customHeight="1">
      <c r="A8" s="58" t="s">
        <v>92</v>
      </c>
      <c r="B8" s="31">
        <f t="shared" si="0"/>
        <v>2593</v>
      </c>
      <c r="C8" s="31">
        <f t="shared" si="0"/>
        <v>0</v>
      </c>
      <c r="D8" s="31">
        <f t="shared" si="0"/>
        <v>34</v>
      </c>
      <c r="E8" s="31">
        <f t="shared" si="0"/>
        <v>0</v>
      </c>
      <c r="F8" s="31">
        <f t="shared" si="0"/>
        <v>2559</v>
      </c>
      <c r="G8" s="31">
        <f t="shared" si="7"/>
        <v>2590</v>
      </c>
      <c r="H8" s="30">
        <v>0</v>
      </c>
      <c r="I8" s="30">
        <v>34</v>
      </c>
      <c r="J8" s="30">
        <v>0</v>
      </c>
      <c r="K8" s="30">
        <v>2556</v>
      </c>
      <c r="L8" s="31">
        <f t="shared" si="1"/>
        <v>3</v>
      </c>
      <c r="M8" s="30">
        <v>0</v>
      </c>
      <c r="N8" s="30">
        <v>0</v>
      </c>
      <c r="O8" s="30">
        <v>0</v>
      </c>
      <c r="P8" s="30">
        <v>3</v>
      </c>
    </row>
    <row r="9" spans="1:32" ht="21.95" customHeight="1">
      <c r="A9" s="59" t="s">
        <v>39</v>
      </c>
      <c r="B9" s="31">
        <f t="shared" si="0"/>
        <v>245</v>
      </c>
      <c r="C9" s="31">
        <f t="shared" si="0"/>
        <v>0</v>
      </c>
      <c r="D9" s="31">
        <f t="shared" si="0"/>
        <v>31</v>
      </c>
      <c r="E9" s="31">
        <f t="shared" si="0"/>
        <v>2</v>
      </c>
      <c r="F9" s="31">
        <f t="shared" si="0"/>
        <v>212</v>
      </c>
      <c r="G9" s="31">
        <f t="shared" si="7"/>
        <v>235</v>
      </c>
      <c r="H9" s="30">
        <v>0</v>
      </c>
      <c r="I9" s="30">
        <v>31</v>
      </c>
      <c r="J9" s="30">
        <v>2</v>
      </c>
      <c r="K9" s="30">
        <v>202</v>
      </c>
      <c r="L9" s="31">
        <f t="shared" si="1"/>
        <v>10</v>
      </c>
      <c r="M9" s="30">
        <v>0</v>
      </c>
      <c r="N9" s="30">
        <v>0</v>
      </c>
      <c r="O9" s="30">
        <v>0</v>
      </c>
      <c r="P9" s="30">
        <v>10</v>
      </c>
    </row>
    <row r="10" spans="1:32" ht="21.95" customHeight="1">
      <c r="A10" s="59" t="s">
        <v>161</v>
      </c>
      <c r="B10" s="31">
        <f t="shared" si="0"/>
        <v>109</v>
      </c>
      <c r="C10" s="31">
        <f t="shared" si="0"/>
        <v>0</v>
      </c>
      <c r="D10" s="31">
        <f t="shared" si="0"/>
        <v>30</v>
      </c>
      <c r="E10" s="31">
        <f t="shared" si="0"/>
        <v>4</v>
      </c>
      <c r="F10" s="31">
        <f t="shared" si="0"/>
        <v>75</v>
      </c>
      <c r="G10" s="31">
        <f t="shared" si="7"/>
        <v>101</v>
      </c>
      <c r="H10" s="30">
        <v>0</v>
      </c>
      <c r="I10" s="30">
        <v>29</v>
      </c>
      <c r="J10" s="30">
        <v>4</v>
      </c>
      <c r="K10" s="30">
        <v>68</v>
      </c>
      <c r="L10" s="31">
        <f t="shared" si="1"/>
        <v>8</v>
      </c>
      <c r="M10" s="30">
        <v>0</v>
      </c>
      <c r="N10" s="30">
        <v>1</v>
      </c>
      <c r="O10" s="30">
        <v>0</v>
      </c>
      <c r="P10" s="30">
        <v>7</v>
      </c>
    </row>
    <row r="11" spans="1:32" ht="21.95" customHeight="1">
      <c r="A11" s="59" t="s">
        <v>340</v>
      </c>
      <c r="B11" s="31">
        <f t="shared" si="0"/>
        <v>93</v>
      </c>
      <c r="C11" s="31">
        <f t="shared" si="0"/>
        <v>0</v>
      </c>
      <c r="D11" s="31">
        <f t="shared" si="0"/>
        <v>41</v>
      </c>
      <c r="E11" s="31">
        <f t="shared" si="0"/>
        <v>1</v>
      </c>
      <c r="F11" s="31">
        <f t="shared" si="0"/>
        <v>51</v>
      </c>
      <c r="G11" s="31">
        <f t="shared" si="7"/>
        <v>91</v>
      </c>
      <c r="H11" s="30">
        <v>0</v>
      </c>
      <c r="I11" s="30">
        <v>41</v>
      </c>
      <c r="J11" s="30">
        <v>1</v>
      </c>
      <c r="K11" s="30">
        <v>49</v>
      </c>
      <c r="L11" s="31">
        <f t="shared" si="1"/>
        <v>2</v>
      </c>
      <c r="M11" s="30">
        <v>0</v>
      </c>
      <c r="N11" s="30">
        <v>0</v>
      </c>
      <c r="O11" s="30">
        <v>0</v>
      </c>
      <c r="P11" s="30">
        <v>2</v>
      </c>
    </row>
    <row r="12" spans="1:32" ht="21.95" customHeight="1">
      <c r="A12" s="59" t="s">
        <v>162</v>
      </c>
      <c r="B12" s="31">
        <f t="shared" si="0"/>
        <v>90</v>
      </c>
      <c r="C12" s="31">
        <f t="shared" si="0"/>
        <v>0</v>
      </c>
      <c r="D12" s="31">
        <f t="shared" si="0"/>
        <v>43</v>
      </c>
      <c r="E12" s="31">
        <f t="shared" si="0"/>
        <v>2</v>
      </c>
      <c r="F12" s="31">
        <f t="shared" si="0"/>
        <v>45</v>
      </c>
      <c r="G12" s="31">
        <f t="shared" si="7"/>
        <v>87</v>
      </c>
      <c r="H12" s="30">
        <v>0</v>
      </c>
      <c r="I12" s="30">
        <v>40</v>
      </c>
      <c r="J12" s="30">
        <v>2</v>
      </c>
      <c r="K12" s="30">
        <v>45</v>
      </c>
      <c r="L12" s="31">
        <f t="shared" si="1"/>
        <v>3</v>
      </c>
      <c r="M12" s="30">
        <v>0</v>
      </c>
      <c r="N12" s="30">
        <v>3</v>
      </c>
      <c r="O12" s="30">
        <v>0</v>
      </c>
      <c r="P12" s="30">
        <v>0</v>
      </c>
    </row>
    <row r="13" spans="1:32" ht="21.95" customHeight="1">
      <c r="A13" s="59" t="s">
        <v>163</v>
      </c>
      <c r="B13" s="31">
        <f t="shared" si="0"/>
        <v>68</v>
      </c>
      <c r="C13" s="31">
        <f t="shared" si="0"/>
        <v>0</v>
      </c>
      <c r="D13" s="31">
        <f t="shared" si="0"/>
        <v>42</v>
      </c>
      <c r="E13" s="31">
        <f t="shared" si="0"/>
        <v>3</v>
      </c>
      <c r="F13" s="31">
        <f t="shared" si="0"/>
        <v>23</v>
      </c>
      <c r="G13" s="31">
        <f t="shared" si="7"/>
        <v>65</v>
      </c>
      <c r="H13" s="30">
        <v>0</v>
      </c>
      <c r="I13" s="30">
        <v>39</v>
      </c>
      <c r="J13" s="30">
        <v>3</v>
      </c>
      <c r="K13" s="30">
        <v>23</v>
      </c>
      <c r="L13" s="31">
        <f t="shared" si="1"/>
        <v>3</v>
      </c>
      <c r="M13" s="30">
        <v>0</v>
      </c>
      <c r="N13" s="30">
        <v>3</v>
      </c>
      <c r="O13" s="30">
        <v>0</v>
      </c>
      <c r="P13" s="30">
        <v>0</v>
      </c>
    </row>
    <row r="14" spans="1:32" ht="21.95" customHeight="1">
      <c r="A14" s="59" t="s">
        <v>164</v>
      </c>
      <c r="B14" s="31">
        <f t="shared" si="0"/>
        <v>65</v>
      </c>
      <c r="C14" s="31">
        <f t="shared" si="0"/>
        <v>0</v>
      </c>
      <c r="D14" s="31">
        <f t="shared" si="0"/>
        <v>33</v>
      </c>
      <c r="E14" s="31">
        <f t="shared" si="0"/>
        <v>1</v>
      </c>
      <c r="F14" s="31">
        <f t="shared" si="0"/>
        <v>31</v>
      </c>
      <c r="G14" s="31">
        <f t="shared" si="7"/>
        <v>62</v>
      </c>
      <c r="H14" s="30">
        <v>0</v>
      </c>
      <c r="I14" s="30">
        <v>30</v>
      </c>
      <c r="J14" s="30">
        <v>1</v>
      </c>
      <c r="K14" s="30">
        <v>31</v>
      </c>
      <c r="L14" s="31">
        <f t="shared" si="1"/>
        <v>3</v>
      </c>
      <c r="M14" s="30">
        <v>0</v>
      </c>
      <c r="N14" s="30">
        <v>3</v>
      </c>
      <c r="O14" s="30">
        <v>0</v>
      </c>
      <c r="P14" s="30">
        <v>0</v>
      </c>
    </row>
    <row r="15" spans="1:32" ht="21.95" customHeight="1">
      <c r="A15" s="59" t="s">
        <v>165</v>
      </c>
      <c r="B15" s="31">
        <f t="shared" si="0"/>
        <v>71</v>
      </c>
      <c r="C15" s="31">
        <f t="shared" si="0"/>
        <v>0</v>
      </c>
      <c r="D15" s="31">
        <f t="shared" si="0"/>
        <v>52</v>
      </c>
      <c r="E15" s="31">
        <f t="shared" si="0"/>
        <v>3</v>
      </c>
      <c r="F15" s="31">
        <f t="shared" si="0"/>
        <v>16</v>
      </c>
      <c r="G15" s="31">
        <f t="shared" si="7"/>
        <v>65</v>
      </c>
      <c r="H15" s="30">
        <v>0</v>
      </c>
      <c r="I15" s="30">
        <v>46</v>
      </c>
      <c r="J15" s="30">
        <v>3</v>
      </c>
      <c r="K15" s="30">
        <v>16</v>
      </c>
      <c r="L15" s="31">
        <f t="shared" si="1"/>
        <v>6</v>
      </c>
      <c r="M15" s="30">
        <v>0</v>
      </c>
      <c r="N15" s="30">
        <v>6</v>
      </c>
      <c r="O15" s="30">
        <v>0</v>
      </c>
      <c r="P15" s="30">
        <v>0</v>
      </c>
    </row>
    <row r="16" spans="1:32" ht="21.95" customHeight="1">
      <c r="A16" s="59" t="s">
        <v>166</v>
      </c>
      <c r="B16" s="31">
        <f t="shared" si="0"/>
        <v>56</v>
      </c>
      <c r="C16" s="31">
        <f t="shared" si="0"/>
        <v>0</v>
      </c>
      <c r="D16" s="31">
        <f t="shared" si="0"/>
        <v>30</v>
      </c>
      <c r="E16" s="31">
        <f t="shared" si="0"/>
        <v>6</v>
      </c>
      <c r="F16" s="31">
        <f t="shared" si="0"/>
        <v>20</v>
      </c>
      <c r="G16" s="31">
        <f t="shared" si="7"/>
        <v>51</v>
      </c>
      <c r="H16" s="30">
        <v>0</v>
      </c>
      <c r="I16" s="30">
        <v>25</v>
      </c>
      <c r="J16" s="30">
        <v>6</v>
      </c>
      <c r="K16" s="30">
        <v>20</v>
      </c>
      <c r="L16" s="31">
        <f t="shared" si="1"/>
        <v>5</v>
      </c>
      <c r="M16" s="30">
        <v>0</v>
      </c>
      <c r="N16" s="30">
        <v>5</v>
      </c>
      <c r="O16" s="30">
        <v>0</v>
      </c>
      <c r="P16" s="30">
        <v>0</v>
      </c>
    </row>
    <row r="17" spans="1:16" ht="21.95" customHeight="1">
      <c r="A17" s="59" t="s">
        <v>1006</v>
      </c>
      <c r="B17" s="31">
        <f t="shared" si="0"/>
        <v>62</v>
      </c>
      <c r="C17" s="31">
        <f t="shared" si="0"/>
        <v>0</v>
      </c>
      <c r="D17" s="31">
        <f t="shared" si="0"/>
        <v>44</v>
      </c>
      <c r="E17" s="31">
        <f t="shared" si="0"/>
        <v>5</v>
      </c>
      <c r="F17" s="31">
        <f t="shared" si="0"/>
        <v>13</v>
      </c>
      <c r="G17" s="31">
        <f t="shared" si="7"/>
        <v>50</v>
      </c>
      <c r="H17" s="30">
        <v>0</v>
      </c>
      <c r="I17" s="30">
        <v>32</v>
      </c>
      <c r="J17" s="30">
        <v>5</v>
      </c>
      <c r="K17" s="30">
        <v>13</v>
      </c>
      <c r="L17" s="31">
        <f t="shared" si="1"/>
        <v>12</v>
      </c>
      <c r="M17" s="30">
        <v>0</v>
      </c>
      <c r="N17" s="30">
        <v>12</v>
      </c>
      <c r="O17" s="30">
        <v>0</v>
      </c>
      <c r="P17" s="30">
        <v>0</v>
      </c>
    </row>
    <row r="18" spans="1:16" ht="21.95" customHeight="1">
      <c r="A18" s="59" t="s">
        <v>1007</v>
      </c>
      <c r="B18" s="31">
        <f t="shared" si="0"/>
        <v>66</v>
      </c>
      <c r="C18" s="31">
        <f t="shared" si="0"/>
        <v>0</v>
      </c>
      <c r="D18" s="31">
        <f t="shared" si="0"/>
        <v>53</v>
      </c>
      <c r="E18" s="31">
        <f t="shared" si="0"/>
        <v>9</v>
      </c>
      <c r="F18" s="31">
        <f t="shared" si="0"/>
        <v>4</v>
      </c>
      <c r="G18" s="31">
        <f t="shared" si="7"/>
        <v>52</v>
      </c>
      <c r="H18" s="30">
        <v>0</v>
      </c>
      <c r="I18" s="30">
        <v>39</v>
      </c>
      <c r="J18" s="30">
        <v>9</v>
      </c>
      <c r="K18" s="30">
        <v>4</v>
      </c>
      <c r="L18" s="31">
        <f t="shared" si="1"/>
        <v>14</v>
      </c>
      <c r="M18" s="30">
        <v>0</v>
      </c>
      <c r="N18" s="30">
        <v>14</v>
      </c>
      <c r="O18" s="30">
        <v>0</v>
      </c>
      <c r="P18" s="30">
        <v>0</v>
      </c>
    </row>
    <row r="19" spans="1:16" ht="21.95" customHeight="1">
      <c r="A19" s="59" t="s">
        <v>1008</v>
      </c>
      <c r="B19" s="31">
        <f t="shared" si="0"/>
        <v>34</v>
      </c>
      <c r="C19" s="31">
        <f t="shared" si="0"/>
        <v>0</v>
      </c>
      <c r="D19" s="31">
        <f t="shared" si="0"/>
        <v>31</v>
      </c>
      <c r="E19" s="31">
        <f t="shared" si="0"/>
        <v>2</v>
      </c>
      <c r="F19" s="31">
        <f t="shared" si="0"/>
        <v>1</v>
      </c>
      <c r="G19" s="31">
        <f t="shared" si="7"/>
        <v>30</v>
      </c>
      <c r="H19" s="30">
        <v>0</v>
      </c>
      <c r="I19" s="30">
        <v>27</v>
      </c>
      <c r="J19" s="30">
        <v>2</v>
      </c>
      <c r="K19" s="30">
        <v>1</v>
      </c>
      <c r="L19" s="31">
        <f t="shared" si="1"/>
        <v>4</v>
      </c>
      <c r="M19" s="30">
        <v>0</v>
      </c>
      <c r="N19" s="30">
        <v>4</v>
      </c>
      <c r="O19" s="30">
        <v>0</v>
      </c>
      <c r="P19" s="30">
        <v>0</v>
      </c>
    </row>
    <row r="20" spans="1:16" ht="21.95" customHeight="1">
      <c r="A20" s="59" t="s">
        <v>1009</v>
      </c>
      <c r="B20" s="31">
        <f t="shared" si="0"/>
        <v>51</v>
      </c>
      <c r="C20" s="31">
        <f t="shared" si="0"/>
        <v>0</v>
      </c>
      <c r="D20" s="31">
        <f t="shared" si="0"/>
        <v>41</v>
      </c>
      <c r="E20" s="31">
        <f t="shared" si="0"/>
        <v>10</v>
      </c>
      <c r="F20" s="31">
        <f t="shared" si="0"/>
        <v>0</v>
      </c>
      <c r="G20" s="31">
        <f t="shared" si="7"/>
        <v>43</v>
      </c>
      <c r="H20" s="30">
        <v>0</v>
      </c>
      <c r="I20" s="30">
        <v>33</v>
      </c>
      <c r="J20" s="30">
        <v>10</v>
      </c>
      <c r="K20" s="30">
        <v>0</v>
      </c>
      <c r="L20" s="31">
        <f t="shared" si="1"/>
        <v>8</v>
      </c>
      <c r="M20" s="30">
        <v>0</v>
      </c>
      <c r="N20" s="30">
        <v>8</v>
      </c>
      <c r="O20" s="30">
        <v>0</v>
      </c>
      <c r="P20" s="30">
        <v>0</v>
      </c>
    </row>
    <row r="21" spans="1:16" ht="21.95" customHeight="1">
      <c r="A21" s="59" t="s">
        <v>1010</v>
      </c>
      <c r="B21" s="31">
        <f t="shared" si="0"/>
        <v>37</v>
      </c>
      <c r="C21" s="31">
        <f t="shared" si="0"/>
        <v>0</v>
      </c>
      <c r="D21" s="31">
        <f t="shared" si="0"/>
        <v>29</v>
      </c>
      <c r="E21" s="31">
        <f t="shared" si="0"/>
        <v>8</v>
      </c>
      <c r="F21" s="31">
        <f t="shared" si="0"/>
        <v>0</v>
      </c>
      <c r="G21" s="31">
        <f t="shared" si="7"/>
        <v>30</v>
      </c>
      <c r="H21" s="30">
        <v>0</v>
      </c>
      <c r="I21" s="30">
        <v>22</v>
      </c>
      <c r="J21" s="30">
        <v>8</v>
      </c>
      <c r="K21" s="30">
        <v>0</v>
      </c>
      <c r="L21" s="31">
        <f t="shared" si="1"/>
        <v>7</v>
      </c>
      <c r="M21" s="30">
        <v>0</v>
      </c>
      <c r="N21" s="30">
        <v>7</v>
      </c>
      <c r="O21" s="30">
        <v>0</v>
      </c>
      <c r="P21" s="30">
        <v>0</v>
      </c>
    </row>
    <row r="22" spans="1:16" ht="21.95" customHeight="1">
      <c r="A22" s="59" t="s">
        <v>1011</v>
      </c>
      <c r="B22" s="31">
        <f t="shared" si="0"/>
        <v>33</v>
      </c>
      <c r="C22" s="31">
        <f t="shared" si="0"/>
        <v>0</v>
      </c>
      <c r="D22" s="31">
        <f t="shared" si="0"/>
        <v>26</v>
      </c>
      <c r="E22" s="31">
        <f t="shared" si="0"/>
        <v>6</v>
      </c>
      <c r="F22" s="31">
        <f t="shared" si="0"/>
        <v>1</v>
      </c>
      <c r="G22" s="31">
        <f t="shared" si="7"/>
        <v>30</v>
      </c>
      <c r="H22" s="30">
        <v>0</v>
      </c>
      <c r="I22" s="30">
        <v>23</v>
      </c>
      <c r="J22" s="30">
        <v>6</v>
      </c>
      <c r="K22" s="30">
        <v>1</v>
      </c>
      <c r="L22" s="31">
        <f t="shared" si="1"/>
        <v>3</v>
      </c>
      <c r="M22" s="30">
        <v>0</v>
      </c>
      <c r="N22" s="30">
        <v>3</v>
      </c>
      <c r="O22" s="30">
        <v>0</v>
      </c>
      <c r="P22" s="30">
        <v>0</v>
      </c>
    </row>
    <row r="23" spans="1:16" ht="21.95" customHeight="1">
      <c r="A23" s="59" t="s">
        <v>1012</v>
      </c>
      <c r="B23" s="31">
        <f t="shared" ref="B23:F33" si="8">G23+L23</f>
        <v>42</v>
      </c>
      <c r="C23" s="31">
        <f t="shared" si="8"/>
        <v>0</v>
      </c>
      <c r="D23" s="31">
        <f t="shared" si="8"/>
        <v>29</v>
      </c>
      <c r="E23" s="31">
        <f t="shared" si="8"/>
        <v>13</v>
      </c>
      <c r="F23" s="31">
        <f t="shared" si="8"/>
        <v>0</v>
      </c>
      <c r="G23" s="31">
        <f t="shared" si="7"/>
        <v>36</v>
      </c>
      <c r="H23" s="30">
        <v>0</v>
      </c>
      <c r="I23" s="30">
        <v>23</v>
      </c>
      <c r="J23" s="30">
        <v>13</v>
      </c>
      <c r="K23" s="30">
        <v>0</v>
      </c>
      <c r="L23" s="31">
        <f t="shared" si="1"/>
        <v>6</v>
      </c>
      <c r="M23" s="30">
        <v>0</v>
      </c>
      <c r="N23" s="30">
        <v>6</v>
      </c>
      <c r="O23" s="30">
        <v>0</v>
      </c>
      <c r="P23" s="30">
        <v>0</v>
      </c>
    </row>
    <row r="24" spans="1:16" ht="21.95" customHeight="1">
      <c r="A24" s="59" t="s">
        <v>1013</v>
      </c>
      <c r="B24" s="31">
        <f t="shared" si="8"/>
        <v>48</v>
      </c>
      <c r="C24" s="31">
        <f t="shared" si="8"/>
        <v>0</v>
      </c>
      <c r="D24" s="31">
        <f t="shared" si="8"/>
        <v>36</v>
      </c>
      <c r="E24" s="31">
        <f t="shared" si="8"/>
        <v>12</v>
      </c>
      <c r="F24" s="31">
        <f t="shared" si="8"/>
        <v>0</v>
      </c>
      <c r="G24" s="31">
        <f t="shared" si="7"/>
        <v>36</v>
      </c>
      <c r="H24" s="30">
        <v>0</v>
      </c>
      <c r="I24" s="30">
        <v>24</v>
      </c>
      <c r="J24" s="30">
        <v>12</v>
      </c>
      <c r="K24" s="30">
        <v>0</v>
      </c>
      <c r="L24" s="31">
        <f t="shared" si="1"/>
        <v>12</v>
      </c>
      <c r="M24" s="30">
        <v>0</v>
      </c>
      <c r="N24" s="30">
        <v>12</v>
      </c>
      <c r="O24" s="30">
        <v>0</v>
      </c>
      <c r="P24" s="30">
        <v>0</v>
      </c>
    </row>
    <row r="25" spans="1:16" ht="21.95" customHeight="1">
      <c r="A25" s="59" t="s">
        <v>1014</v>
      </c>
      <c r="B25" s="31">
        <f t="shared" si="8"/>
        <v>38</v>
      </c>
      <c r="C25" s="31">
        <f t="shared" si="8"/>
        <v>0</v>
      </c>
      <c r="D25" s="31">
        <f t="shared" si="8"/>
        <v>27</v>
      </c>
      <c r="E25" s="31">
        <f t="shared" si="8"/>
        <v>11</v>
      </c>
      <c r="F25" s="31">
        <f t="shared" si="8"/>
        <v>0</v>
      </c>
      <c r="G25" s="31">
        <f t="shared" si="7"/>
        <v>33</v>
      </c>
      <c r="H25" s="30">
        <v>0</v>
      </c>
      <c r="I25" s="30">
        <v>22</v>
      </c>
      <c r="J25" s="30">
        <v>11</v>
      </c>
      <c r="K25" s="30">
        <v>0</v>
      </c>
      <c r="L25" s="31">
        <f t="shared" si="1"/>
        <v>5</v>
      </c>
      <c r="M25" s="30">
        <v>0</v>
      </c>
      <c r="N25" s="30">
        <v>5</v>
      </c>
      <c r="O25" s="30">
        <v>0</v>
      </c>
      <c r="P25" s="30">
        <v>0</v>
      </c>
    </row>
    <row r="26" spans="1:16" ht="21.95" customHeight="1">
      <c r="A26" s="59" t="s">
        <v>1015</v>
      </c>
      <c r="B26" s="31">
        <f t="shared" si="8"/>
        <v>31</v>
      </c>
      <c r="C26" s="31">
        <f t="shared" si="8"/>
        <v>0</v>
      </c>
      <c r="D26" s="31">
        <f t="shared" si="8"/>
        <v>22</v>
      </c>
      <c r="E26" s="31">
        <f t="shared" si="8"/>
        <v>9</v>
      </c>
      <c r="F26" s="31">
        <f t="shared" si="8"/>
        <v>0</v>
      </c>
      <c r="G26" s="31">
        <f t="shared" si="7"/>
        <v>25</v>
      </c>
      <c r="H26" s="30">
        <v>0</v>
      </c>
      <c r="I26" s="30">
        <v>16</v>
      </c>
      <c r="J26" s="30">
        <v>9</v>
      </c>
      <c r="K26" s="30">
        <v>0</v>
      </c>
      <c r="L26" s="31">
        <f t="shared" si="1"/>
        <v>6</v>
      </c>
      <c r="M26" s="30">
        <v>0</v>
      </c>
      <c r="N26" s="30">
        <v>6</v>
      </c>
      <c r="O26" s="30">
        <v>0</v>
      </c>
      <c r="P26" s="30">
        <v>0</v>
      </c>
    </row>
    <row r="27" spans="1:16" ht="21.95" customHeight="1">
      <c r="A27" s="59" t="s">
        <v>1016</v>
      </c>
      <c r="B27" s="31">
        <f t="shared" si="8"/>
        <v>20</v>
      </c>
      <c r="C27" s="31">
        <f t="shared" si="8"/>
        <v>0</v>
      </c>
      <c r="D27" s="31">
        <f t="shared" si="8"/>
        <v>13</v>
      </c>
      <c r="E27" s="31">
        <f t="shared" si="8"/>
        <v>7</v>
      </c>
      <c r="F27" s="31">
        <f t="shared" si="8"/>
        <v>0</v>
      </c>
      <c r="G27" s="31">
        <f t="shared" si="7"/>
        <v>18</v>
      </c>
      <c r="H27" s="30">
        <v>0</v>
      </c>
      <c r="I27" s="30">
        <v>11</v>
      </c>
      <c r="J27" s="30">
        <v>7</v>
      </c>
      <c r="K27" s="30">
        <v>0</v>
      </c>
      <c r="L27" s="31">
        <f t="shared" si="1"/>
        <v>2</v>
      </c>
      <c r="M27" s="30">
        <v>0</v>
      </c>
      <c r="N27" s="30">
        <v>2</v>
      </c>
      <c r="O27" s="30">
        <v>0</v>
      </c>
      <c r="P27" s="30">
        <v>0</v>
      </c>
    </row>
    <row r="28" spans="1:16" ht="21.95" customHeight="1">
      <c r="A28" s="59" t="s">
        <v>1017</v>
      </c>
      <c r="B28" s="31">
        <f t="shared" si="8"/>
        <v>29</v>
      </c>
      <c r="C28" s="31">
        <f t="shared" si="8"/>
        <v>0</v>
      </c>
      <c r="D28" s="31">
        <f t="shared" si="8"/>
        <v>22</v>
      </c>
      <c r="E28" s="31">
        <f t="shared" si="8"/>
        <v>7</v>
      </c>
      <c r="F28" s="31">
        <f t="shared" si="8"/>
        <v>0</v>
      </c>
      <c r="G28" s="31">
        <f t="shared" si="7"/>
        <v>24</v>
      </c>
      <c r="H28" s="30">
        <v>0</v>
      </c>
      <c r="I28" s="30">
        <v>17</v>
      </c>
      <c r="J28" s="30">
        <v>7</v>
      </c>
      <c r="K28" s="30">
        <v>0</v>
      </c>
      <c r="L28" s="31">
        <f t="shared" si="1"/>
        <v>5</v>
      </c>
      <c r="M28" s="30">
        <v>0</v>
      </c>
      <c r="N28" s="30">
        <v>5</v>
      </c>
      <c r="O28" s="30">
        <v>0</v>
      </c>
      <c r="P28" s="30">
        <v>0</v>
      </c>
    </row>
    <row r="29" spans="1:16" ht="21.95" customHeight="1">
      <c r="A29" s="59" t="s">
        <v>1018</v>
      </c>
      <c r="B29" s="31">
        <f t="shared" si="8"/>
        <v>35</v>
      </c>
      <c r="C29" s="31">
        <f t="shared" si="8"/>
        <v>0</v>
      </c>
      <c r="D29" s="31">
        <f t="shared" si="8"/>
        <v>22</v>
      </c>
      <c r="E29" s="31">
        <f t="shared" si="8"/>
        <v>13</v>
      </c>
      <c r="F29" s="31">
        <f t="shared" si="8"/>
        <v>0</v>
      </c>
      <c r="G29" s="31">
        <f t="shared" si="7"/>
        <v>29</v>
      </c>
      <c r="H29" s="30">
        <v>0</v>
      </c>
      <c r="I29" s="30">
        <v>17</v>
      </c>
      <c r="J29" s="30">
        <v>12</v>
      </c>
      <c r="K29" s="30">
        <v>0</v>
      </c>
      <c r="L29" s="31">
        <f t="shared" si="1"/>
        <v>6</v>
      </c>
      <c r="M29" s="30">
        <v>0</v>
      </c>
      <c r="N29" s="30">
        <v>5</v>
      </c>
      <c r="O29" s="30">
        <v>1</v>
      </c>
      <c r="P29" s="30">
        <v>0</v>
      </c>
    </row>
    <row r="30" spans="1:16" ht="21.95" customHeight="1">
      <c r="A30" s="59" t="s">
        <v>40</v>
      </c>
      <c r="B30" s="31">
        <f t="shared" si="8"/>
        <v>17</v>
      </c>
      <c r="C30" s="31">
        <f t="shared" si="8"/>
        <v>0</v>
      </c>
      <c r="D30" s="31">
        <f t="shared" si="8"/>
        <v>12</v>
      </c>
      <c r="E30" s="31">
        <f t="shared" si="8"/>
        <v>5</v>
      </c>
      <c r="F30" s="31">
        <f t="shared" si="8"/>
        <v>0</v>
      </c>
      <c r="G30" s="31">
        <f t="shared" si="7"/>
        <v>16</v>
      </c>
      <c r="H30" s="30">
        <v>0</v>
      </c>
      <c r="I30" s="30">
        <v>11</v>
      </c>
      <c r="J30" s="30">
        <v>5</v>
      </c>
      <c r="K30" s="30">
        <v>0</v>
      </c>
      <c r="L30" s="31">
        <f t="shared" si="1"/>
        <v>1</v>
      </c>
      <c r="M30" s="30">
        <v>0</v>
      </c>
      <c r="N30" s="30">
        <v>1</v>
      </c>
      <c r="O30" s="30">
        <v>0</v>
      </c>
      <c r="P30" s="30">
        <v>0</v>
      </c>
    </row>
    <row r="31" spans="1:16" ht="21.95" customHeight="1">
      <c r="A31" s="59" t="s">
        <v>41</v>
      </c>
      <c r="B31" s="31">
        <f t="shared" si="8"/>
        <v>23</v>
      </c>
      <c r="C31" s="31">
        <f t="shared" si="8"/>
        <v>0</v>
      </c>
      <c r="D31" s="31">
        <f t="shared" si="8"/>
        <v>19</v>
      </c>
      <c r="E31" s="31">
        <f t="shared" si="8"/>
        <v>4</v>
      </c>
      <c r="F31" s="31">
        <f t="shared" si="8"/>
        <v>0</v>
      </c>
      <c r="G31" s="31">
        <f t="shared" si="7"/>
        <v>18</v>
      </c>
      <c r="H31" s="30">
        <v>0</v>
      </c>
      <c r="I31" s="30">
        <v>14</v>
      </c>
      <c r="J31" s="30">
        <v>4</v>
      </c>
      <c r="K31" s="30">
        <v>0</v>
      </c>
      <c r="L31" s="31">
        <f t="shared" si="1"/>
        <v>5</v>
      </c>
      <c r="M31" s="30">
        <v>0</v>
      </c>
      <c r="N31" s="30">
        <v>5</v>
      </c>
      <c r="O31" s="30">
        <v>0</v>
      </c>
      <c r="P31" s="30">
        <v>0</v>
      </c>
    </row>
    <row r="32" spans="1:16" ht="21.95" customHeight="1">
      <c r="A32" s="59" t="s">
        <v>42</v>
      </c>
      <c r="B32" s="31">
        <f t="shared" si="8"/>
        <v>26</v>
      </c>
      <c r="C32" s="31">
        <f t="shared" si="8"/>
        <v>0</v>
      </c>
      <c r="D32" s="31">
        <f t="shared" si="8"/>
        <v>21</v>
      </c>
      <c r="E32" s="31">
        <f t="shared" si="8"/>
        <v>5</v>
      </c>
      <c r="F32" s="31">
        <f t="shared" si="8"/>
        <v>0</v>
      </c>
      <c r="G32" s="31">
        <f t="shared" si="7"/>
        <v>23</v>
      </c>
      <c r="H32" s="30">
        <v>0</v>
      </c>
      <c r="I32" s="30">
        <v>18</v>
      </c>
      <c r="J32" s="30">
        <v>5</v>
      </c>
      <c r="K32" s="30">
        <v>0</v>
      </c>
      <c r="L32" s="31">
        <f t="shared" si="1"/>
        <v>3</v>
      </c>
      <c r="M32" s="30">
        <v>0</v>
      </c>
      <c r="N32" s="30">
        <v>3</v>
      </c>
      <c r="O32" s="30">
        <v>0</v>
      </c>
      <c r="P32" s="30">
        <v>0</v>
      </c>
    </row>
    <row r="33" spans="1:16" ht="21.95" customHeight="1">
      <c r="A33" s="692" t="s">
        <v>1019</v>
      </c>
      <c r="B33" s="31">
        <f t="shared" si="8"/>
        <v>172</v>
      </c>
      <c r="C33" s="31">
        <f t="shared" si="8"/>
        <v>0</v>
      </c>
      <c r="D33" s="31">
        <f t="shared" si="8"/>
        <v>146</v>
      </c>
      <c r="E33" s="31">
        <f t="shared" si="8"/>
        <v>26</v>
      </c>
      <c r="F33" s="31">
        <f t="shared" si="8"/>
        <v>0</v>
      </c>
      <c r="G33" s="31">
        <f t="shared" si="7"/>
        <v>160</v>
      </c>
      <c r="H33" s="30">
        <v>0</v>
      </c>
      <c r="I33" s="30">
        <v>134</v>
      </c>
      <c r="J33" s="30">
        <v>26</v>
      </c>
      <c r="K33" s="30">
        <v>0</v>
      </c>
      <c r="L33" s="31">
        <f t="shared" si="1"/>
        <v>12</v>
      </c>
      <c r="M33" s="30">
        <v>0</v>
      </c>
      <c r="N33" s="34">
        <v>12</v>
      </c>
      <c r="O33" s="34">
        <v>0</v>
      </c>
      <c r="P33" s="34">
        <v>0</v>
      </c>
    </row>
    <row r="34" spans="1:16" ht="18" customHeight="1">
      <c r="A34" s="12" t="s">
        <v>1020</v>
      </c>
      <c r="B34" s="93"/>
      <c r="C34" s="93"/>
      <c r="D34" s="93"/>
      <c r="E34" s="93"/>
      <c r="F34" s="93"/>
      <c r="G34" s="93"/>
      <c r="H34" s="700"/>
      <c r="I34" s="700"/>
      <c r="J34" s="700"/>
      <c r="K34" s="700"/>
      <c r="L34" s="93"/>
      <c r="M34" s="700"/>
      <c r="N34" s="106"/>
      <c r="O34" s="106"/>
      <c r="P34" s="106"/>
    </row>
    <row r="35" spans="1:16" ht="25.35" customHeight="1">
      <c r="A35" s="870" t="s">
        <v>1021</v>
      </c>
      <c r="B35" s="870"/>
      <c r="C35" s="870"/>
      <c r="D35" s="870"/>
      <c r="E35" s="870"/>
      <c r="F35" s="870"/>
      <c r="G35" s="870"/>
      <c r="H35" s="870"/>
      <c r="I35" s="870"/>
      <c r="J35" s="870"/>
      <c r="K35" s="870"/>
      <c r="L35" s="870"/>
      <c r="M35" s="870"/>
      <c r="N35" s="870"/>
      <c r="O35" s="870"/>
      <c r="P35" s="870"/>
    </row>
    <row r="36" spans="1:16" ht="18" customHeight="1">
      <c r="A36" s="12" t="s">
        <v>1022</v>
      </c>
      <c r="B36" s="12"/>
      <c r="C36" s="12"/>
      <c r="D36" s="12"/>
      <c r="E36" s="12"/>
      <c r="F36" s="12"/>
      <c r="G36" s="12"/>
      <c r="H36" s="12"/>
      <c r="I36" s="12"/>
      <c r="J36" s="12"/>
      <c r="K36" s="12"/>
      <c r="L36" s="12"/>
      <c r="M36" s="12"/>
      <c r="N36" s="12"/>
      <c r="O36" s="12"/>
      <c r="P36" s="12"/>
    </row>
    <row r="37" spans="1:16">
      <c r="A37" s="703" t="s">
        <v>1027</v>
      </c>
      <c r="B37" s="143">
        <f>B5-'[3]23當年離退-性別'!B5</f>
        <v>0</v>
      </c>
      <c r="C37" s="143">
        <f>C5-'[3]23當年離退-性別'!C5</f>
        <v>0</v>
      </c>
      <c r="D37" s="143">
        <f>D5-'[3]23當年離退-性別'!D5</f>
        <v>0</v>
      </c>
      <c r="E37" s="143">
        <f>E5-'[3]23當年離退-性別'!E5</f>
        <v>0</v>
      </c>
      <c r="F37" s="143">
        <f>F5-'[3]23當年離退-性別'!F5</f>
        <v>0</v>
      </c>
      <c r="G37" s="143">
        <f>G5-'[3]23當年離退-性別'!G5</f>
        <v>0</v>
      </c>
      <c r="H37" s="143">
        <f>H5-'[3]23當年離退-性別'!H5</f>
        <v>0</v>
      </c>
      <c r="I37" s="143">
        <f>I5-'[3]23當年離退-性別'!I5</f>
        <v>0</v>
      </c>
      <c r="J37" s="143">
        <f>J5-'[3]23當年離退-性別'!J5</f>
        <v>0</v>
      </c>
      <c r="K37" s="143">
        <f>K5-'[3]23當年離退-性別'!K5</f>
        <v>0</v>
      </c>
      <c r="L37" s="143">
        <f>L5-'[3]23當年離退-性別'!L5</f>
        <v>0</v>
      </c>
      <c r="M37" s="143">
        <f>M5-'[3]23當年離退-性別'!M5</f>
        <v>0</v>
      </c>
      <c r="N37" s="143">
        <f>N5-'[3]23當年離退-性別'!N5</f>
        <v>0</v>
      </c>
      <c r="O37" s="143">
        <f>O5-'[3]23當年離退-性別'!O5</f>
        <v>0</v>
      </c>
      <c r="P37" s="143">
        <f>P5-'[3]23當年離退-性別'!P5</f>
        <v>0</v>
      </c>
    </row>
    <row r="38" spans="1:16">
      <c r="B38" s="143">
        <f>B6-'[3]23當年離退-性別'!B6</f>
        <v>0</v>
      </c>
      <c r="C38" s="143">
        <f>C6-'[3]23當年離退-性別'!C6</f>
        <v>0</v>
      </c>
      <c r="D38" s="143">
        <f>D6-'[3]23當年離退-性別'!D6</f>
        <v>0</v>
      </c>
      <c r="E38" s="143">
        <f>E6-'[3]23當年離退-性別'!E6</f>
        <v>0</v>
      </c>
      <c r="F38" s="143">
        <f>F6-'[3]23當年離退-性別'!F6</f>
        <v>0</v>
      </c>
      <c r="G38" s="143">
        <f>G6-'[3]23當年離退-性別'!G6</f>
        <v>0</v>
      </c>
      <c r="H38" s="143">
        <f>H6-'[3]23當年離退-性別'!H6</f>
        <v>0</v>
      </c>
      <c r="I38" s="143">
        <f>I6-'[3]23當年離退-性別'!I6</f>
        <v>0</v>
      </c>
      <c r="J38" s="143">
        <f>J6-'[3]23當年離退-性別'!J6</f>
        <v>0</v>
      </c>
      <c r="K38" s="143">
        <f>K6-'[3]23當年離退-性別'!K6</f>
        <v>0</v>
      </c>
      <c r="L38" s="143">
        <f>L6-'[3]23當年離退-性別'!L6</f>
        <v>0</v>
      </c>
      <c r="M38" s="143">
        <f>M6-'[3]23當年離退-性別'!M6</f>
        <v>0</v>
      </c>
      <c r="N38" s="143">
        <f>N6-'[3]23當年離退-性別'!N6</f>
        <v>0</v>
      </c>
      <c r="O38" s="143">
        <f>O6-'[3]23當年離退-性別'!O6</f>
        <v>0</v>
      </c>
      <c r="P38" s="143">
        <f>P6-'[3]23當年離退-性別'!P6</f>
        <v>0</v>
      </c>
    </row>
    <row r="39" spans="1:16">
      <c r="B39" s="143">
        <f>B7-'[3]23當年離退-性別'!B7</f>
        <v>0</v>
      </c>
      <c r="C39" s="143">
        <f>C7-'[3]23當年離退-性別'!C7</f>
        <v>0</v>
      </c>
      <c r="D39" s="143">
        <f>D7-'[3]23當年離退-性別'!D7</f>
        <v>0</v>
      </c>
      <c r="E39" s="143">
        <f>E7-'[3]23當年離退-性別'!E7</f>
        <v>0</v>
      </c>
      <c r="F39" s="143">
        <f>F7-'[3]23當年離退-性別'!F7</f>
        <v>0</v>
      </c>
      <c r="G39" s="143">
        <f>G7-'[3]23當年離退-性別'!G7</f>
        <v>0</v>
      </c>
      <c r="H39" s="143">
        <f>H7-'[3]23當年離退-性別'!H7</f>
        <v>0</v>
      </c>
      <c r="I39" s="143">
        <f>I7-'[3]23當年離退-性別'!I7</f>
        <v>0</v>
      </c>
      <c r="J39" s="143">
        <f>J7-'[3]23當年離退-性別'!J7</f>
        <v>0</v>
      </c>
      <c r="K39" s="143">
        <f>K7-'[3]23當年離退-性別'!K7</f>
        <v>0</v>
      </c>
      <c r="L39" s="143">
        <f>L7-'[3]23當年離退-性別'!L7</f>
        <v>0</v>
      </c>
      <c r="M39" s="143">
        <f>M7-'[3]23當年離退-性別'!M7</f>
        <v>0</v>
      </c>
      <c r="N39" s="143">
        <f>N7-'[3]23當年離退-性別'!N7</f>
        <v>0</v>
      </c>
      <c r="O39" s="143">
        <f>O7-'[3]23當年離退-性別'!O7</f>
        <v>0</v>
      </c>
      <c r="P39" s="143">
        <f>P7-'[3]23當年離退-性別'!P7</f>
        <v>0</v>
      </c>
    </row>
    <row r="40" spans="1:16">
      <c r="B40" s="143">
        <f>B8-'[3]23當年離退-性別'!B8</f>
        <v>0</v>
      </c>
      <c r="C40" s="143">
        <f>C8-'[3]23當年離退-性別'!C8</f>
        <v>0</v>
      </c>
      <c r="D40" s="143">
        <f>D8-'[3]23當年離退-性別'!D8</f>
        <v>0</v>
      </c>
      <c r="E40" s="143">
        <f>E8-'[3]23當年離退-性別'!E8</f>
        <v>0</v>
      </c>
      <c r="F40" s="143">
        <f>F8-'[3]23當年離退-性別'!F8</f>
        <v>0</v>
      </c>
      <c r="G40" s="143">
        <f>G8-'[3]23當年離退-性別'!G8</f>
        <v>0</v>
      </c>
      <c r="H40" s="143">
        <f>H8-'[3]23當年離退-性別'!H8</f>
        <v>0</v>
      </c>
      <c r="I40" s="143">
        <f>I8-'[3]23當年離退-性別'!I8</f>
        <v>0</v>
      </c>
      <c r="J40" s="143">
        <f>J8-'[3]23當年離退-性別'!J8</f>
        <v>0</v>
      </c>
      <c r="K40" s="143">
        <f>K8-'[3]23當年離退-性別'!K8</f>
        <v>0</v>
      </c>
      <c r="L40" s="143">
        <f>L8-'[3]23當年離退-性別'!L8</f>
        <v>0</v>
      </c>
      <c r="M40" s="143">
        <f>M8-'[3]23當年離退-性別'!M8</f>
        <v>0</v>
      </c>
      <c r="N40" s="143">
        <f>N8-'[3]23當年離退-性別'!N8</f>
        <v>0</v>
      </c>
      <c r="O40" s="143">
        <f>O8-'[3]23當年離退-性別'!O8</f>
        <v>0</v>
      </c>
      <c r="P40" s="143">
        <f>P8-'[3]23當年離退-性別'!P8</f>
        <v>0</v>
      </c>
    </row>
    <row r="41" spans="1:16">
      <c r="B41" s="143">
        <f>B9-'[3]23當年離退-性別'!B9</f>
        <v>0</v>
      </c>
      <c r="C41" s="143">
        <f>C9-'[3]23當年離退-性別'!C9</f>
        <v>0</v>
      </c>
      <c r="D41" s="143">
        <f>D9-'[3]23當年離退-性別'!D9</f>
        <v>0</v>
      </c>
      <c r="E41" s="143">
        <f>E9-'[3]23當年離退-性別'!E9</f>
        <v>0</v>
      </c>
      <c r="F41" s="143">
        <f>F9-'[3]23當年離退-性別'!F9</f>
        <v>0</v>
      </c>
      <c r="G41" s="143">
        <f>G9-'[3]23當年離退-性別'!G9</f>
        <v>0</v>
      </c>
      <c r="H41" s="143">
        <f>H9-'[3]23當年離退-性別'!H9</f>
        <v>0</v>
      </c>
      <c r="I41" s="143">
        <f>I9-'[3]23當年離退-性別'!I9</f>
        <v>0</v>
      </c>
      <c r="J41" s="143">
        <f>J9-'[3]23當年離退-性別'!J9</f>
        <v>0</v>
      </c>
      <c r="K41" s="143">
        <f>K9-'[3]23當年離退-性別'!K9</f>
        <v>0</v>
      </c>
      <c r="L41" s="143">
        <f>L9-'[3]23當年離退-性別'!L9</f>
        <v>0</v>
      </c>
      <c r="M41" s="143">
        <f>M9-'[3]23當年離退-性別'!M9</f>
        <v>0</v>
      </c>
      <c r="N41" s="143">
        <f>N9-'[3]23當年離退-性別'!N9</f>
        <v>0</v>
      </c>
      <c r="O41" s="143">
        <f>O9-'[3]23當年離退-性別'!O9</f>
        <v>0</v>
      </c>
      <c r="P41" s="143">
        <f>P9-'[3]23當年離退-性別'!P9</f>
        <v>0</v>
      </c>
    </row>
    <row r="42" spans="1:16">
      <c r="B42" s="143">
        <f>B10-'[3]23當年離退-性別'!B10</f>
        <v>0</v>
      </c>
      <c r="C42" s="143">
        <f>C10-'[3]23當年離退-性別'!C10</f>
        <v>0</v>
      </c>
      <c r="D42" s="143">
        <f>D10-'[3]23當年離退-性別'!D10</f>
        <v>0</v>
      </c>
      <c r="E42" s="143">
        <f>E10-'[3]23當年離退-性別'!E10</f>
        <v>0</v>
      </c>
      <c r="F42" s="143">
        <f>F10-'[3]23當年離退-性別'!F10</f>
        <v>0</v>
      </c>
      <c r="G42" s="143">
        <f>G10-'[3]23當年離退-性別'!G10</f>
        <v>0</v>
      </c>
      <c r="H42" s="143">
        <f>H10-'[3]23當年離退-性別'!H10</f>
        <v>0</v>
      </c>
      <c r="I42" s="143">
        <f>I10-'[3]23當年離退-性別'!I10</f>
        <v>0</v>
      </c>
      <c r="J42" s="143">
        <f>J10-'[3]23當年離退-性別'!J10</f>
        <v>0</v>
      </c>
      <c r="K42" s="143">
        <f>K10-'[3]23當年離退-性別'!K10</f>
        <v>0</v>
      </c>
      <c r="L42" s="143">
        <f>L10-'[3]23當年離退-性別'!L10</f>
        <v>0</v>
      </c>
      <c r="M42" s="143">
        <f>M10-'[3]23當年離退-性別'!M10</f>
        <v>0</v>
      </c>
      <c r="N42" s="143">
        <f>N10-'[3]23當年離退-性別'!N10</f>
        <v>0</v>
      </c>
      <c r="O42" s="143">
        <f>O10-'[3]23當年離退-性別'!O10</f>
        <v>0</v>
      </c>
      <c r="P42" s="143">
        <f>P10-'[3]23當年離退-性別'!P10</f>
        <v>0</v>
      </c>
    </row>
    <row r="43" spans="1:16">
      <c r="B43" s="143">
        <f>B11-'[3]23當年離退-性別'!B11</f>
        <v>0</v>
      </c>
      <c r="C43" s="143">
        <f>C11-'[3]23當年離退-性別'!C11</f>
        <v>0</v>
      </c>
      <c r="D43" s="143">
        <f>D11-'[3]23當年離退-性別'!D11</f>
        <v>0</v>
      </c>
      <c r="E43" s="143">
        <f>E11-'[3]23當年離退-性別'!E11</f>
        <v>0</v>
      </c>
      <c r="F43" s="143">
        <f>F11-'[3]23當年離退-性別'!F11</f>
        <v>0</v>
      </c>
      <c r="G43" s="143">
        <f>G11-'[3]23當年離退-性別'!G11</f>
        <v>0</v>
      </c>
      <c r="H43" s="143">
        <f>H11-'[3]23當年離退-性別'!H11</f>
        <v>0</v>
      </c>
      <c r="I43" s="143">
        <f>I11-'[3]23當年離退-性別'!I11</f>
        <v>0</v>
      </c>
      <c r="J43" s="143">
        <f>J11-'[3]23當年離退-性別'!J11</f>
        <v>0</v>
      </c>
      <c r="K43" s="143">
        <f>K11-'[3]23當年離退-性別'!K11</f>
        <v>0</v>
      </c>
      <c r="L43" s="143">
        <f>L11-'[3]23當年離退-性別'!L11</f>
        <v>0</v>
      </c>
      <c r="M43" s="143">
        <f>M11-'[3]23當年離退-性別'!M11</f>
        <v>0</v>
      </c>
      <c r="N43" s="143">
        <f>N11-'[3]23當年離退-性別'!N11</f>
        <v>0</v>
      </c>
      <c r="O43" s="143">
        <f>O11-'[3]23當年離退-性別'!O11</f>
        <v>0</v>
      </c>
      <c r="P43" s="143">
        <f>P11-'[3]23當年離退-性別'!P11</f>
        <v>0</v>
      </c>
    </row>
    <row r="44" spans="1:16">
      <c r="B44" s="143">
        <f>B12-'[3]23當年離退-性別'!B12</f>
        <v>0</v>
      </c>
      <c r="C44" s="143">
        <f>C12-'[3]23當年離退-性別'!C12</f>
        <v>0</v>
      </c>
      <c r="D44" s="143">
        <f>D12-'[3]23當年離退-性別'!D12</f>
        <v>0</v>
      </c>
      <c r="E44" s="143">
        <f>E12-'[3]23當年離退-性別'!E12</f>
        <v>0</v>
      </c>
      <c r="F44" s="143">
        <f>F12-'[3]23當年離退-性別'!F12</f>
        <v>0</v>
      </c>
      <c r="G44" s="143">
        <f>G12-'[3]23當年離退-性別'!G12</f>
        <v>0</v>
      </c>
      <c r="H44" s="143">
        <f>H12-'[3]23當年離退-性別'!H12</f>
        <v>0</v>
      </c>
      <c r="I44" s="143">
        <f>I12-'[3]23當年離退-性別'!I12</f>
        <v>0</v>
      </c>
      <c r="J44" s="143">
        <f>J12-'[3]23當年離退-性別'!J12</f>
        <v>0</v>
      </c>
      <c r="K44" s="143">
        <f>K12-'[3]23當年離退-性別'!K12</f>
        <v>0</v>
      </c>
      <c r="L44" s="143">
        <f>L12-'[3]23當年離退-性別'!L12</f>
        <v>0</v>
      </c>
      <c r="M44" s="143">
        <f>M12-'[3]23當年離退-性別'!M12</f>
        <v>0</v>
      </c>
      <c r="N44" s="143">
        <f>N12-'[3]23當年離退-性別'!N12</f>
        <v>0</v>
      </c>
      <c r="O44" s="143">
        <f>O12-'[3]23當年離退-性別'!O12</f>
        <v>0</v>
      </c>
      <c r="P44" s="143">
        <f>P12-'[3]23當年離退-性別'!P12</f>
        <v>0</v>
      </c>
    </row>
    <row r="45" spans="1:16">
      <c r="B45" s="143">
        <f>B13-'[3]23當年離退-性別'!B13</f>
        <v>0</v>
      </c>
      <c r="C45" s="143">
        <f>C13-'[3]23當年離退-性別'!C13</f>
        <v>0</v>
      </c>
      <c r="D45" s="143">
        <f>D13-'[3]23當年離退-性別'!D13</f>
        <v>0</v>
      </c>
      <c r="E45" s="143">
        <f>E13-'[3]23當年離退-性別'!E13</f>
        <v>0</v>
      </c>
      <c r="F45" s="143">
        <f>F13-'[3]23當年離退-性別'!F13</f>
        <v>0</v>
      </c>
      <c r="G45" s="143">
        <f>G13-'[3]23當年離退-性別'!G13</f>
        <v>0</v>
      </c>
      <c r="H45" s="143">
        <f>H13-'[3]23當年離退-性別'!H13</f>
        <v>0</v>
      </c>
      <c r="I45" s="143">
        <f>I13-'[3]23當年離退-性別'!I13</f>
        <v>0</v>
      </c>
      <c r="J45" s="143">
        <f>J13-'[3]23當年離退-性別'!J13</f>
        <v>0</v>
      </c>
      <c r="K45" s="143">
        <f>K13-'[3]23當年離退-性別'!K13</f>
        <v>0</v>
      </c>
      <c r="L45" s="143">
        <f>L13-'[3]23當年離退-性別'!L13</f>
        <v>0</v>
      </c>
      <c r="M45" s="143">
        <f>M13-'[3]23當年離退-性別'!M13</f>
        <v>0</v>
      </c>
      <c r="N45" s="143">
        <f>N13-'[3]23當年離退-性別'!N13</f>
        <v>0</v>
      </c>
      <c r="O45" s="143">
        <f>O13-'[3]23當年離退-性別'!O13</f>
        <v>0</v>
      </c>
      <c r="P45" s="143">
        <f>P13-'[3]23當年離退-性別'!P13</f>
        <v>0</v>
      </c>
    </row>
    <row r="46" spans="1:16">
      <c r="B46" s="143">
        <f>B14-'[3]23當年離退-性別'!B14</f>
        <v>0</v>
      </c>
      <c r="C46" s="143">
        <f>C14-'[3]23當年離退-性別'!C14</f>
        <v>0</v>
      </c>
      <c r="D46" s="143">
        <f>D14-'[3]23當年離退-性別'!D14</f>
        <v>0</v>
      </c>
      <c r="E46" s="143">
        <f>E14-'[3]23當年離退-性別'!E14</f>
        <v>0</v>
      </c>
      <c r="F46" s="143">
        <f>F14-'[3]23當年離退-性別'!F14</f>
        <v>0</v>
      </c>
      <c r="G46" s="143">
        <f>G14-'[3]23當年離退-性別'!G14</f>
        <v>0</v>
      </c>
      <c r="H46" s="143">
        <f>H14-'[3]23當年離退-性別'!H14</f>
        <v>0</v>
      </c>
      <c r="I46" s="143">
        <f>I14-'[3]23當年離退-性別'!I14</f>
        <v>0</v>
      </c>
      <c r="J46" s="143">
        <f>J14-'[3]23當年離退-性別'!J14</f>
        <v>0</v>
      </c>
      <c r="K46" s="143">
        <f>K14-'[3]23當年離退-性別'!K14</f>
        <v>0</v>
      </c>
      <c r="L46" s="143">
        <f>L14-'[3]23當年離退-性別'!L14</f>
        <v>0</v>
      </c>
      <c r="M46" s="143">
        <f>M14-'[3]23當年離退-性別'!M14</f>
        <v>0</v>
      </c>
      <c r="N46" s="143">
        <f>N14-'[3]23當年離退-性別'!N14</f>
        <v>0</v>
      </c>
      <c r="O46" s="143">
        <f>O14-'[3]23當年離退-性別'!O14</f>
        <v>0</v>
      </c>
      <c r="P46" s="143">
        <f>P14-'[3]23當年離退-性別'!P14</f>
        <v>0</v>
      </c>
    </row>
    <row r="47" spans="1:16">
      <c r="B47" s="143">
        <f>B15-'[3]23當年離退-性別'!B15</f>
        <v>0</v>
      </c>
      <c r="C47" s="143">
        <f>C15-'[3]23當年離退-性別'!C15</f>
        <v>0</v>
      </c>
      <c r="D47" s="143">
        <f>D15-'[3]23當年離退-性別'!D15</f>
        <v>0</v>
      </c>
      <c r="E47" s="143">
        <f>E15-'[3]23當年離退-性別'!E15</f>
        <v>0</v>
      </c>
      <c r="F47" s="143">
        <f>F15-'[3]23當年離退-性別'!F15</f>
        <v>0</v>
      </c>
      <c r="G47" s="143">
        <f>G15-'[3]23當年離退-性別'!G15</f>
        <v>0</v>
      </c>
      <c r="H47" s="143">
        <f>H15-'[3]23當年離退-性別'!H15</f>
        <v>0</v>
      </c>
      <c r="I47" s="143">
        <f>I15-'[3]23當年離退-性別'!I15</f>
        <v>0</v>
      </c>
      <c r="J47" s="143">
        <f>J15-'[3]23當年離退-性別'!J15</f>
        <v>0</v>
      </c>
      <c r="K47" s="143">
        <f>K15-'[3]23當年離退-性別'!K15</f>
        <v>0</v>
      </c>
      <c r="L47" s="143">
        <f>L15-'[3]23當年離退-性別'!L15</f>
        <v>0</v>
      </c>
      <c r="M47" s="143">
        <f>M15-'[3]23當年離退-性別'!M15</f>
        <v>0</v>
      </c>
      <c r="N47" s="143">
        <f>N15-'[3]23當年離退-性別'!N15</f>
        <v>0</v>
      </c>
      <c r="O47" s="143">
        <f>O15-'[3]23當年離退-性別'!O15</f>
        <v>0</v>
      </c>
      <c r="P47" s="143">
        <f>P15-'[3]23當年離退-性別'!P15</f>
        <v>0</v>
      </c>
    </row>
    <row r="48" spans="1:16">
      <c r="B48" s="143">
        <f>B16-'[3]23當年離退-性別'!B16</f>
        <v>0</v>
      </c>
      <c r="C48" s="143">
        <f>C16-'[3]23當年離退-性別'!C16</f>
        <v>0</v>
      </c>
      <c r="D48" s="143">
        <f>D16-'[3]23當年離退-性別'!D16</f>
        <v>0</v>
      </c>
      <c r="E48" s="143">
        <f>E16-'[3]23當年離退-性別'!E16</f>
        <v>0</v>
      </c>
      <c r="F48" s="143">
        <f>F16-'[3]23當年離退-性別'!F16</f>
        <v>0</v>
      </c>
      <c r="G48" s="143">
        <f>G16-'[3]23當年離退-性別'!G16</f>
        <v>0</v>
      </c>
      <c r="H48" s="143">
        <f>H16-'[3]23當年離退-性別'!H16</f>
        <v>0</v>
      </c>
      <c r="I48" s="143">
        <f>I16-'[3]23當年離退-性別'!I16</f>
        <v>0</v>
      </c>
      <c r="J48" s="143">
        <f>J16-'[3]23當年離退-性別'!J16</f>
        <v>0</v>
      </c>
      <c r="K48" s="143">
        <f>K16-'[3]23當年離退-性別'!K16</f>
        <v>0</v>
      </c>
      <c r="L48" s="143">
        <f>L16-'[3]23當年離退-性別'!L16</f>
        <v>0</v>
      </c>
      <c r="M48" s="143">
        <f>M16-'[3]23當年離退-性別'!M16</f>
        <v>0</v>
      </c>
      <c r="N48" s="143">
        <f>N16-'[3]23當年離退-性別'!N16</f>
        <v>0</v>
      </c>
      <c r="O48" s="143">
        <f>O16-'[3]23當年離退-性別'!O16</f>
        <v>0</v>
      </c>
      <c r="P48" s="143">
        <f>P16-'[3]23當年離退-性別'!P16</f>
        <v>0</v>
      </c>
    </row>
    <row r="49" spans="2:16">
      <c r="B49" s="143">
        <f>B17-'[3]23當年離退-性別'!B17</f>
        <v>0</v>
      </c>
      <c r="C49" s="143">
        <f>C17-'[3]23當年離退-性別'!C17</f>
        <v>0</v>
      </c>
      <c r="D49" s="143">
        <f>D17-'[3]23當年離退-性別'!D17</f>
        <v>0</v>
      </c>
      <c r="E49" s="143">
        <f>E17-'[3]23當年離退-性別'!E17</f>
        <v>0</v>
      </c>
      <c r="F49" s="143">
        <f>F17-'[3]23當年離退-性別'!F17</f>
        <v>0</v>
      </c>
      <c r="G49" s="143">
        <f>G17-'[3]23當年離退-性別'!G17</f>
        <v>0</v>
      </c>
      <c r="H49" s="143">
        <f>H17-'[3]23當年離退-性別'!H17</f>
        <v>0</v>
      </c>
      <c r="I49" s="143">
        <f>I17-'[3]23當年離退-性別'!I17</f>
        <v>0</v>
      </c>
      <c r="J49" s="143">
        <f>J17-'[3]23當年離退-性別'!J17</f>
        <v>0</v>
      </c>
      <c r="K49" s="143">
        <f>K17-'[3]23當年離退-性別'!K17</f>
        <v>0</v>
      </c>
      <c r="L49" s="143">
        <f>L17-'[3]23當年離退-性別'!L17</f>
        <v>0</v>
      </c>
      <c r="M49" s="143">
        <f>M17-'[3]23當年離退-性別'!M17</f>
        <v>0</v>
      </c>
      <c r="N49" s="143">
        <f>N17-'[3]23當年離退-性別'!N17</f>
        <v>0</v>
      </c>
      <c r="O49" s="143">
        <f>O17-'[3]23當年離退-性別'!O17</f>
        <v>0</v>
      </c>
      <c r="P49" s="143">
        <f>P17-'[3]23當年離退-性別'!P17</f>
        <v>0</v>
      </c>
    </row>
    <row r="50" spans="2:16">
      <c r="B50" s="143">
        <f>B18-'[3]23當年離退-性別'!B18</f>
        <v>0</v>
      </c>
      <c r="C50" s="143">
        <f>C18-'[3]23當年離退-性別'!C18</f>
        <v>0</v>
      </c>
      <c r="D50" s="143">
        <f>D18-'[3]23當年離退-性別'!D18</f>
        <v>0</v>
      </c>
      <c r="E50" s="143">
        <f>E18-'[3]23當年離退-性別'!E18</f>
        <v>0</v>
      </c>
      <c r="F50" s="143">
        <f>F18-'[3]23當年離退-性別'!F18</f>
        <v>0</v>
      </c>
      <c r="G50" s="143">
        <f>G18-'[3]23當年離退-性別'!G18</f>
        <v>0</v>
      </c>
      <c r="H50" s="143">
        <f>H18-'[3]23當年離退-性別'!H18</f>
        <v>0</v>
      </c>
      <c r="I50" s="143">
        <f>I18-'[3]23當年離退-性別'!I18</f>
        <v>0</v>
      </c>
      <c r="J50" s="143">
        <f>J18-'[3]23當年離退-性別'!J18</f>
        <v>0</v>
      </c>
      <c r="K50" s="143">
        <f>K18-'[3]23當年離退-性別'!K18</f>
        <v>0</v>
      </c>
      <c r="L50" s="143">
        <f>L18-'[3]23當年離退-性別'!L18</f>
        <v>0</v>
      </c>
      <c r="M50" s="143">
        <f>M18-'[3]23當年離退-性別'!M18</f>
        <v>0</v>
      </c>
      <c r="N50" s="143">
        <f>N18-'[3]23當年離退-性別'!N18</f>
        <v>0</v>
      </c>
      <c r="O50" s="143">
        <f>O18-'[3]23當年離退-性別'!O18</f>
        <v>0</v>
      </c>
      <c r="P50" s="143">
        <f>P18-'[3]23當年離退-性別'!P18</f>
        <v>0</v>
      </c>
    </row>
    <row r="51" spans="2:16">
      <c r="B51" s="143">
        <f>B19-'[3]23當年離退-性別'!B19</f>
        <v>0</v>
      </c>
      <c r="C51" s="143">
        <f>C19-'[3]23當年離退-性別'!C19</f>
        <v>0</v>
      </c>
      <c r="D51" s="143">
        <f>D19-'[3]23當年離退-性別'!D19</f>
        <v>0</v>
      </c>
      <c r="E51" s="143">
        <f>E19-'[3]23當年離退-性別'!E19</f>
        <v>0</v>
      </c>
      <c r="F51" s="143">
        <f>F19-'[3]23當年離退-性別'!F19</f>
        <v>0</v>
      </c>
      <c r="G51" s="143">
        <f>G19-'[3]23當年離退-性別'!G19</f>
        <v>0</v>
      </c>
      <c r="H51" s="143">
        <f>H19-'[3]23當年離退-性別'!H19</f>
        <v>0</v>
      </c>
      <c r="I51" s="143">
        <f>I19-'[3]23當年離退-性別'!I19</f>
        <v>0</v>
      </c>
      <c r="J51" s="143">
        <f>J19-'[3]23當年離退-性別'!J19</f>
        <v>0</v>
      </c>
      <c r="K51" s="143">
        <f>K19-'[3]23當年離退-性別'!K19</f>
        <v>0</v>
      </c>
      <c r="L51" s="143">
        <f>L19-'[3]23當年離退-性別'!L19</f>
        <v>0</v>
      </c>
      <c r="M51" s="143">
        <f>M19-'[3]23當年離退-性別'!M19</f>
        <v>0</v>
      </c>
      <c r="N51" s="143">
        <f>N19-'[3]23當年離退-性別'!N19</f>
        <v>0</v>
      </c>
      <c r="O51" s="143">
        <f>O19-'[3]23當年離退-性別'!O19</f>
        <v>0</v>
      </c>
      <c r="P51" s="143">
        <f>P19-'[3]23當年離退-性別'!P19</f>
        <v>0</v>
      </c>
    </row>
    <row r="52" spans="2:16">
      <c r="B52" s="143">
        <f>B20-'[3]23當年離退-性別'!B20</f>
        <v>0</v>
      </c>
      <c r="C52" s="143">
        <f>C20-'[3]23當年離退-性別'!C20</f>
        <v>0</v>
      </c>
      <c r="D52" s="143">
        <f>D20-'[3]23當年離退-性別'!D20</f>
        <v>0</v>
      </c>
      <c r="E52" s="143">
        <f>E20-'[3]23當年離退-性別'!E20</f>
        <v>0</v>
      </c>
      <c r="F52" s="143">
        <f>F20-'[3]23當年離退-性別'!F20</f>
        <v>0</v>
      </c>
      <c r="G52" s="143">
        <f>G20-'[3]23當年離退-性別'!G20</f>
        <v>0</v>
      </c>
      <c r="H52" s="143">
        <f>H20-'[3]23當年離退-性別'!H20</f>
        <v>0</v>
      </c>
      <c r="I52" s="143">
        <f>I20-'[3]23當年離退-性別'!I20</f>
        <v>0</v>
      </c>
      <c r="J52" s="143">
        <f>J20-'[3]23當年離退-性別'!J20</f>
        <v>0</v>
      </c>
      <c r="K52" s="143">
        <f>K20-'[3]23當年離退-性別'!K20</f>
        <v>0</v>
      </c>
      <c r="L52" s="143">
        <f>L20-'[3]23當年離退-性別'!L20</f>
        <v>0</v>
      </c>
      <c r="M52" s="143">
        <f>M20-'[3]23當年離退-性別'!M20</f>
        <v>0</v>
      </c>
      <c r="N52" s="143">
        <f>N20-'[3]23當年離退-性別'!N20</f>
        <v>0</v>
      </c>
      <c r="O52" s="143">
        <f>O20-'[3]23當年離退-性別'!O20</f>
        <v>0</v>
      </c>
      <c r="P52" s="143">
        <f>P20-'[3]23當年離退-性別'!P20</f>
        <v>0</v>
      </c>
    </row>
    <row r="53" spans="2:16">
      <c r="B53" s="143">
        <f>B21-'[3]23當年離退-性別'!B21</f>
        <v>0</v>
      </c>
      <c r="C53" s="143">
        <f>C21-'[3]23當年離退-性別'!C21</f>
        <v>0</v>
      </c>
      <c r="D53" s="143">
        <f>D21-'[3]23當年離退-性別'!D21</f>
        <v>0</v>
      </c>
      <c r="E53" s="143">
        <f>E21-'[3]23當年離退-性別'!E21</f>
        <v>0</v>
      </c>
      <c r="F53" s="143">
        <f>F21-'[3]23當年離退-性別'!F21</f>
        <v>0</v>
      </c>
      <c r="G53" s="143">
        <f>G21-'[3]23當年離退-性別'!G21</f>
        <v>0</v>
      </c>
      <c r="H53" s="143">
        <f>H21-'[3]23當年離退-性別'!H21</f>
        <v>0</v>
      </c>
      <c r="I53" s="143">
        <f>I21-'[3]23當年離退-性別'!I21</f>
        <v>0</v>
      </c>
      <c r="J53" s="143">
        <f>J21-'[3]23當年離退-性別'!J21</f>
        <v>0</v>
      </c>
      <c r="K53" s="143">
        <f>K21-'[3]23當年離退-性別'!K21</f>
        <v>0</v>
      </c>
      <c r="L53" s="143">
        <f>L21-'[3]23當年離退-性別'!L21</f>
        <v>0</v>
      </c>
      <c r="M53" s="143">
        <f>M21-'[3]23當年離退-性別'!M21</f>
        <v>0</v>
      </c>
      <c r="N53" s="143">
        <f>N21-'[3]23當年離退-性別'!N21</f>
        <v>0</v>
      </c>
      <c r="O53" s="143">
        <f>O21-'[3]23當年離退-性別'!O21</f>
        <v>0</v>
      </c>
      <c r="P53" s="143">
        <f>P21-'[3]23當年離退-性別'!P21</f>
        <v>0</v>
      </c>
    </row>
    <row r="54" spans="2:16">
      <c r="B54" s="143">
        <f>B22-'[3]23當年離退-性別'!B22</f>
        <v>0</v>
      </c>
      <c r="C54" s="143">
        <f>C22-'[3]23當年離退-性別'!C22</f>
        <v>0</v>
      </c>
      <c r="D54" s="143">
        <f>D22-'[3]23當年離退-性別'!D22</f>
        <v>0</v>
      </c>
      <c r="E54" s="143">
        <f>E22-'[3]23當年離退-性別'!E22</f>
        <v>0</v>
      </c>
      <c r="F54" s="143">
        <f>F22-'[3]23當年離退-性別'!F22</f>
        <v>0</v>
      </c>
      <c r="G54" s="143">
        <f>G22-'[3]23當年離退-性別'!G22</f>
        <v>0</v>
      </c>
      <c r="H54" s="143">
        <f>H22-'[3]23當年離退-性別'!H22</f>
        <v>0</v>
      </c>
      <c r="I54" s="143">
        <f>I22-'[3]23當年離退-性別'!I22</f>
        <v>0</v>
      </c>
      <c r="J54" s="143">
        <f>J22-'[3]23當年離退-性別'!J22</f>
        <v>0</v>
      </c>
      <c r="K54" s="143">
        <f>K22-'[3]23當年離退-性別'!K22</f>
        <v>0</v>
      </c>
      <c r="L54" s="143">
        <f>L22-'[3]23當年離退-性別'!L22</f>
        <v>0</v>
      </c>
      <c r="M54" s="143">
        <f>M22-'[3]23當年離退-性別'!M22</f>
        <v>0</v>
      </c>
      <c r="N54" s="143">
        <f>N22-'[3]23當年離退-性別'!N22</f>
        <v>0</v>
      </c>
      <c r="O54" s="143">
        <f>O22-'[3]23當年離退-性別'!O22</f>
        <v>0</v>
      </c>
      <c r="P54" s="143">
        <f>P22-'[3]23當年離退-性別'!P22</f>
        <v>0</v>
      </c>
    </row>
    <row r="55" spans="2:16">
      <c r="B55" s="143">
        <f>B23-'[3]23當年離退-性別'!B23</f>
        <v>0</v>
      </c>
      <c r="C55" s="143">
        <f>C23-'[3]23當年離退-性別'!C23</f>
        <v>0</v>
      </c>
      <c r="D55" s="143">
        <f>D23-'[3]23當年離退-性別'!D23</f>
        <v>0</v>
      </c>
      <c r="E55" s="143">
        <f>E23-'[3]23當年離退-性別'!E23</f>
        <v>0</v>
      </c>
      <c r="F55" s="143">
        <f>F23-'[3]23當年離退-性別'!F23</f>
        <v>0</v>
      </c>
      <c r="G55" s="143">
        <f>G23-'[3]23當年離退-性別'!G23</f>
        <v>0</v>
      </c>
      <c r="H55" s="143">
        <f>H23-'[3]23當年離退-性別'!H23</f>
        <v>0</v>
      </c>
      <c r="I55" s="143">
        <f>I23-'[3]23當年離退-性別'!I23</f>
        <v>0</v>
      </c>
      <c r="J55" s="143">
        <f>J23-'[3]23當年離退-性別'!J23</f>
        <v>0</v>
      </c>
      <c r="K55" s="143">
        <f>K23-'[3]23當年離退-性別'!K23</f>
        <v>0</v>
      </c>
      <c r="L55" s="143">
        <f>L23-'[3]23當年離退-性別'!L23</f>
        <v>0</v>
      </c>
      <c r="M55" s="143">
        <f>M23-'[3]23當年離退-性別'!M23</f>
        <v>0</v>
      </c>
      <c r="N55" s="143">
        <f>N23-'[3]23當年離退-性別'!N23</f>
        <v>0</v>
      </c>
      <c r="O55" s="143">
        <f>O23-'[3]23當年離退-性別'!O23</f>
        <v>0</v>
      </c>
      <c r="P55" s="143">
        <f>P23-'[3]23當年離退-性別'!P23</f>
        <v>0</v>
      </c>
    </row>
    <row r="56" spans="2:16">
      <c r="B56" s="143">
        <f>B24-'[3]23當年離退-性別'!B24</f>
        <v>0</v>
      </c>
      <c r="C56" s="143">
        <f>C24-'[3]23當年離退-性別'!C24</f>
        <v>0</v>
      </c>
      <c r="D56" s="143">
        <f>D24-'[3]23當年離退-性別'!D24</f>
        <v>0</v>
      </c>
      <c r="E56" s="143">
        <f>E24-'[3]23當年離退-性別'!E24</f>
        <v>0</v>
      </c>
      <c r="F56" s="143">
        <f>F24-'[3]23當年離退-性別'!F24</f>
        <v>0</v>
      </c>
      <c r="G56" s="143">
        <f>G24-'[3]23當年離退-性別'!G24</f>
        <v>0</v>
      </c>
      <c r="H56" s="143">
        <f>H24-'[3]23當年離退-性別'!H24</f>
        <v>0</v>
      </c>
      <c r="I56" s="143">
        <f>I24-'[3]23當年離退-性別'!I24</f>
        <v>0</v>
      </c>
      <c r="J56" s="143">
        <f>J24-'[3]23當年離退-性別'!J24</f>
        <v>0</v>
      </c>
      <c r="K56" s="143">
        <f>K24-'[3]23當年離退-性別'!K24</f>
        <v>0</v>
      </c>
      <c r="L56" s="143">
        <f>L24-'[3]23當年離退-性別'!L24</f>
        <v>0</v>
      </c>
      <c r="M56" s="143">
        <f>M24-'[3]23當年離退-性別'!M24</f>
        <v>0</v>
      </c>
      <c r="N56" s="143">
        <f>N24-'[3]23當年離退-性別'!N24</f>
        <v>0</v>
      </c>
      <c r="O56" s="143">
        <f>O24-'[3]23當年離退-性別'!O24</f>
        <v>0</v>
      </c>
      <c r="P56" s="143">
        <f>P24-'[3]23當年離退-性別'!P24</f>
        <v>0</v>
      </c>
    </row>
    <row r="57" spans="2:16">
      <c r="B57" s="143">
        <f>B25-'[3]23當年離退-性別'!B25</f>
        <v>0</v>
      </c>
      <c r="C57" s="143">
        <f>C25-'[3]23當年離退-性別'!C25</f>
        <v>0</v>
      </c>
      <c r="D57" s="143">
        <f>D25-'[3]23當年離退-性別'!D25</f>
        <v>0</v>
      </c>
      <c r="E57" s="143">
        <f>E25-'[3]23當年離退-性別'!E25</f>
        <v>0</v>
      </c>
      <c r="F57" s="143">
        <f>F25-'[3]23當年離退-性別'!F25</f>
        <v>0</v>
      </c>
      <c r="G57" s="143">
        <f>G25-'[3]23當年離退-性別'!G25</f>
        <v>0</v>
      </c>
      <c r="H57" s="143">
        <f>H25-'[3]23當年離退-性別'!H25</f>
        <v>0</v>
      </c>
      <c r="I57" s="143">
        <f>I25-'[3]23當年離退-性別'!I25</f>
        <v>0</v>
      </c>
      <c r="J57" s="143">
        <f>J25-'[3]23當年離退-性別'!J25</f>
        <v>0</v>
      </c>
      <c r="K57" s="143">
        <f>K25-'[3]23當年離退-性別'!K25</f>
        <v>0</v>
      </c>
      <c r="L57" s="143">
        <f>L25-'[3]23當年離退-性別'!L25</f>
        <v>0</v>
      </c>
      <c r="M57" s="143">
        <f>M25-'[3]23當年離退-性別'!M25</f>
        <v>0</v>
      </c>
      <c r="N57" s="143">
        <f>N25-'[3]23當年離退-性別'!N25</f>
        <v>0</v>
      </c>
      <c r="O57" s="143">
        <f>O25-'[3]23當年離退-性別'!O25</f>
        <v>0</v>
      </c>
      <c r="P57" s="143">
        <f>P25-'[3]23當年離退-性別'!P25</f>
        <v>0</v>
      </c>
    </row>
    <row r="58" spans="2:16">
      <c r="B58" s="143">
        <f>B26-'[3]23當年離退-性別'!B26</f>
        <v>0</v>
      </c>
      <c r="C58" s="143">
        <f>C26-'[3]23當年離退-性別'!C26</f>
        <v>0</v>
      </c>
      <c r="D58" s="143">
        <f>D26-'[3]23當年離退-性別'!D26</f>
        <v>0</v>
      </c>
      <c r="E58" s="143">
        <f>E26-'[3]23當年離退-性別'!E26</f>
        <v>0</v>
      </c>
      <c r="F58" s="143">
        <f>F26-'[3]23當年離退-性別'!F26</f>
        <v>0</v>
      </c>
      <c r="G58" s="143">
        <f>G26-'[3]23當年離退-性別'!G26</f>
        <v>0</v>
      </c>
      <c r="H58" s="143">
        <f>H26-'[3]23當年離退-性別'!H26</f>
        <v>0</v>
      </c>
      <c r="I58" s="143">
        <f>I26-'[3]23當年離退-性別'!I26</f>
        <v>0</v>
      </c>
      <c r="J58" s="143">
        <f>J26-'[3]23當年離退-性別'!J26</f>
        <v>0</v>
      </c>
      <c r="K58" s="143">
        <f>K26-'[3]23當年離退-性別'!K26</f>
        <v>0</v>
      </c>
      <c r="L58" s="143">
        <f>L26-'[3]23當年離退-性別'!L26</f>
        <v>0</v>
      </c>
      <c r="M58" s="143">
        <f>M26-'[3]23當年離退-性別'!M26</f>
        <v>0</v>
      </c>
      <c r="N58" s="143">
        <f>N26-'[3]23當年離退-性別'!N26</f>
        <v>0</v>
      </c>
      <c r="O58" s="143">
        <f>O26-'[3]23當年離退-性別'!O26</f>
        <v>0</v>
      </c>
      <c r="P58" s="143">
        <f>P26-'[3]23當年離退-性別'!P26</f>
        <v>0</v>
      </c>
    </row>
    <row r="59" spans="2:16">
      <c r="B59" s="143">
        <f>B27-'[3]23當年離退-性別'!B27</f>
        <v>0</v>
      </c>
      <c r="C59" s="143">
        <f>C27-'[3]23當年離退-性別'!C27</f>
        <v>0</v>
      </c>
      <c r="D59" s="143">
        <f>D27-'[3]23當年離退-性別'!D27</f>
        <v>0</v>
      </c>
      <c r="E59" s="143">
        <f>E27-'[3]23當年離退-性別'!E27</f>
        <v>0</v>
      </c>
      <c r="F59" s="143">
        <f>F27-'[3]23當年離退-性別'!F27</f>
        <v>0</v>
      </c>
      <c r="G59" s="143">
        <f>G27-'[3]23當年離退-性別'!G27</f>
        <v>0</v>
      </c>
      <c r="H59" s="143">
        <f>H27-'[3]23當年離退-性別'!H27</f>
        <v>0</v>
      </c>
      <c r="I59" s="143">
        <f>I27-'[3]23當年離退-性別'!I27</f>
        <v>0</v>
      </c>
      <c r="J59" s="143">
        <f>J27-'[3]23當年離退-性別'!J27</f>
        <v>0</v>
      </c>
      <c r="K59" s="143">
        <f>K27-'[3]23當年離退-性別'!K27</f>
        <v>0</v>
      </c>
      <c r="L59" s="143">
        <f>L27-'[3]23當年離退-性別'!L27</f>
        <v>0</v>
      </c>
      <c r="M59" s="143">
        <f>M27-'[3]23當年離退-性別'!M27</f>
        <v>0</v>
      </c>
      <c r="N59" s="143">
        <f>N27-'[3]23當年離退-性別'!N27</f>
        <v>0</v>
      </c>
      <c r="O59" s="143">
        <f>O27-'[3]23當年離退-性別'!O27</f>
        <v>0</v>
      </c>
      <c r="P59" s="143">
        <f>P27-'[3]23當年離退-性別'!P27</f>
        <v>0</v>
      </c>
    </row>
    <row r="60" spans="2:16">
      <c r="B60" s="143">
        <f>B28-'[3]23當年離退-性別'!B28</f>
        <v>0</v>
      </c>
      <c r="C60" s="143">
        <f>C28-'[3]23當年離退-性別'!C28</f>
        <v>0</v>
      </c>
      <c r="D60" s="143">
        <f>D28-'[3]23當年離退-性別'!D28</f>
        <v>0</v>
      </c>
      <c r="E60" s="143">
        <f>E28-'[3]23當年離退-性別'!E28</f>
        <v>0</v>
      </c>
      <c r="F60" s="143">
        <f>F28-'[3]23當年離退-性別'!F28</f>
        <v>0</v>
      </c>
      <c r="G60" s="143">
        <f>G28-'[3]23當年離退-性別'!G28</f>
        <v>0</v>
      </c>
      <c r="H60" s="143">
        <f>H28-'[3]23當年離退-性別'!H28</f>
        <v>0</v>
      </c>
      <c r="I60" s="143">
        <f>I28-'[3]23當年離退-性別'!I28</f>
        <v>0</v>
      </c>
      <c r="J60" s="143">
        <f>J28-'[3]23當年離退-性別'!J28</f>
        <v>0</v>
      </c>
      <c r="K60" s="143">
        <f>K28-'[3]23當年離退-性別'!K28</f>
        <v>0</v>
      </c>
      <c r="L60" s="143">
        <f>L28-'[3]23當年離退-性別'!L28</f>
        <v>0</v>
      </c>
      <c r="M60" s="143">
        <f>M28-'[3]23當年離退-性別'!M28</f>
        <v>0</v>
      </c>
      <c r="N60" s="143">
        <f>N28-'[3]23當年離退-性別'!N28</f>
        <v>0</v>
      </c>
      <c r="O60" s="143">
        <f>O28-'[3]23當年離退-性別'!O28</f>
        <v>0</v>
      </c>
      <c r="P60" s="143">
        <f>P28-'[3]23當年離退-性別'!P28</f>
        <v>0</v>
      </c>
    </row>
    <row r="61" spans="2:16">
      <c r="B61" s="143">
        <f>B29-'[3]23當年離退-性別'!B29</f>
        <v>0</v>
      </c>
      <c r="C61" s="143">
        <f>C29-'[3]23當年離退-性別'!C29</f>
        <v>0</v>
      </c>
      <c r="D61" s="143">
        <f>D29-'[3]23當年離退-性別'!D29</f>
        <v>0</v>
      </c>
      <c r="E61" s="143">
        <f>E29-'[3]23當年離退-性別'!E29</f>
        <v>0</v>
      </c>
      <c r="F61" s="143">
        <f>F29-'[3]23當年離退-性別'!F29</f>
        <v>0</v>
      </c>
      <c r="G61" s="143">
        <f>G29-'[3]23當年離退-性別'!G29</f>
        <v>0</v>
      </c>
      <c r="H61" s="143">
        <f>H29-'[3]23當年離退-性別'!H29</f>
        <v>0</v>
      </c>
      <c r="I61" s="143">
        <f>I29-'[3]23當年離退-性別'!I29</f>
        <v>0</v>
      </c>
      <c r="J61" s="143">
        <f>J29-'[3]23當年離退-性別'!J29</f>
        <v>0</v>
      </c>
      <c r="K61" s="143">
        <f>K29-'[3]23當年離退-性別'!K29</f>
        <v>0</v>
      </c>
      <c r="L61" s="143">
        <f>L29-'[3]23當年離退-性別'!L29</f>
        <v>0</v>
      </c>
      <c r="M61" s="143">
        <f>M29-'[3]23當年離退-性別'!M29</f>
        <v>0</v>
      </c>
      <c r="N61" s="143">
        <f>N29-'[3]23當年離退-性別'!N29</f>
        <v>0</v>
      </c>
      <c r="O61" s="143">
        <f>O29-'[3]23當年離退-性別'!O29</f>
        <v>0</v>
      </c>
      <c r="P61" s="143">
        <f>P29-'[3]23當年離退-性別'!P29</f>
        <v>0</v>
      </c>
    </row>
    <row r="62" spans="2:16">
      <c r="B62" s="143">
        <f>B30-'[3]23當年離退-性別'!B30</f>
        <v>0</v>
      </c>
      <c r="C62" s="143">
        <f>C30-'[3]23當年離退-性別'!C30</f>
        <v>0</v>
      </c>
      <c r="D62" s="143">
        <f>D30-'[3]23當年離退-性別'!D30</f>
        <v>0</v>
      </c>
      <c r="E62" s="143">
        <f>E30-'[3]23當年離退-性別'!E30</f>
        <v>0</v>
      </c>
      <c r="F62" s="143">
        <f>F30-'[3]23當年離退-性別'!F30</f>
        <v>0</v>
      </c>
      <c r="G62" s="143">
        <f>G30-'[3]23當年離退-性別'!G30</f>
        <v>0</v>
      </c>
      <c r="H62" s="143">
        <f>H30-'[3]23當年離退-性別'!H30</f>
        <v>0</v>
      </c>
      <c r="I62" s="143">
        <f>I30-'[3]23當年離退-性別'!I30</f>
        <v>0</v>
      </c>
      <c r="J62" s="143">
        <f>J30-'[3]23當年離退-性別'!J30</f>
        <v>0</v>
      </c>
      <c r="K62" s="143">
        <f>K30-'[3]23當年離退-性別'!K30</f>
        <v>0</v>
      </c>
      <c r="L62" s="143">
        <f>L30-'[3]23當年離退-性別'!L30</f>
        <v>0</v>
      </c>
      <c r="M62" s="143">
        <f>M30-'[3]23當年離退-性別'!M30</f>
        <v>0</v>
      </c>
      <c r="N62" s="143">
        <f>N30-'[3]23當年離退-性別'!N30</f>
        <v>0</v>
      </c>
      <c r="O62" s="143">
        <f>O30-'[3]23當年離退-性別'!O30</f>
        <v>0</v>
      </c>
      <c r="P62" s="143">
        <f>P30-'[3]23當年離退-性別'!P30</f>
        <v>0</v>
      </c>
    </row>
    <row r="63" spans="2:16">
      <c r="B63" s="143">
        <f>B31-'[3]23當年離退-性別'!B31</f>
        <v>0</v>
      </c>
      <c r="C63" s="143">
        <f>C31-'[3]23當年離退-性別'!C31</f>
        <v>0</v>
      </c>
      <c r="D63" s="143">
        <f>D31-'[3]23當年離退-性別'!D31</f>
        <v>0</v>
      </c>
      <c r="E63" s="143">
        <f>E31-'[3]23當年離退-性別'!E31</f>
        <v>0</v>
      </c>
      <c r="F63" s="143">
        <f>F31-'[3]23當年離退-性別'!F31</f>
        <v>0</v>
      </c>
      <c r="G63" s="143">
        <f>G31-'[3]23當年離退-性別'!G31</f>
        <v>0</v>
      </c>
      <c r="H63" s="143">
        <f>H31-'[3]23當年離退-性別'!H31</f>
        <v>0</v>
      </c>
      <c r="I63" s="143">
        <f>I31-'[3]23當年離退-性別'!I31</f>
        <v>0</v>
      </c>
      <c r="J63" s="143">
        <f>J31-'[3]23當年離退-性別'!J31</f>
        <v>0</v>
      </c>
      <c r="K63" s="143">
        <f>K31-'[3]23當年離退-性別'!K31</f>
        <v>0</v>
      </c>
      <c r="L63" s="143">
        <f>L31-'[3]23當年離退-性別'!L31</f>
        <v>0</v>
      </c>
      <c r="M63" s="143">
        <f>M31-'[3]23當年離退-性別'!M31</f>
        <v>0</v>
      </c>
      <c r="N63" s="143">
        <f>N31-'[3]23當年離退-性別'!N31</f>
        <v>0</v>
      </c>
      <c r="O63" s="143">
        <f>O31-'[3]23當年離退-性別'!O31</f>
        <v>0</v>
      </c>
      <c r="P63" s="143">
        <f>P31-'[3]23當年離退-性別'!P31</f>
        <v>0</v>
      </c>
    </row>
    <row r="64" spans="2:16">
      <c r="B64" s="143">
        <f>B32-'[3]23當年離退-性別'!B32</f>
        <v>0</v>
      </c>
      <c r="C64" s="143">
        <f>C32-'[3]23當年離退-性別'!C32</f>
        <v>0</v>
      </c>
      <c r="D64" s="143">
        <f>D32-'[3]23當年離退-性別'!D32</f>
        <v>0</v>
      </c>
      <c r="E64" s="143">
        <f>E32-'[3]23當年離退-性別'!E32</f>
        <v>0</v>
      </c>
      <c r="F64" s="143">
        <f>F32-'[3]23當年離退-性別'!F32</f>
        <v>0</v>
      </c>
      <c r="G64" s="143">
        <f>G32-'[3]23當年離退-性別'!G32</f>
        <v>0</v>
      </c>
      <c r="H64" s="143">
        <f>H32-'[3]23當年離退-性別'!H32</f>
        <v>0</v>
      </c>
      <c r="I64" s="143">
        <f>I32-'[3]23當年離退-性別'!I32</f>
        <v>0</v>
      </c>
      <c r="J64" s="143">
        <f>J32-'[3]23當年離退-性別'!J32</f>
        <v>0</v>
      </c>
      <c r="K64" s="143">
        <f>K32-'[3]23當年離退-性別'!K32</f>
        <v>0</v>
      </c>
      <c r="L64" s="143">
        <f>L32-'[3]23當年離退-性別'!L32</f>
        <v>0</v>
      </c>
      <c r="M64" s="143">
        <f>M32-'[3]23當年離退-性別'!M32</f>
        <v>0</v>
      </c>
      <c r="N64" s="143">
        <f>N32-'[3]23當年離退-性別'!N32</f>
        <v>0</v>
      </c>
      <c r="O64" s="143">
        <f>O32-'[3]23當年離退-性別'!O32</f>
        <v>0</v>
      </c>
      <c r="P64" s="143">
        <f>P32-'[3]23當年離退-性別'!P32</f>
        <v>0</v>
      </c>
    </row>
    <row r="65" spans="2:16">
      <c r="B65" s="143">
        <f>B33-'[3]23當年離退-性別'!B33</f>
        <v>0</v>
      </c>
      <c r="C65" s="143">
        <f>C33-'[3]23當年離退-性別'!C33</f>
        <v>0</v>
      </c>
      <c r="D65" s="143">
        <f>D33-'[3]23當年離退-性別'!D33</f>
        <v>0</v>
      </c>
      <c r="E65" s="143">
        <f>E33-'[3]23當年離退-性別'!E33</f>
        <v>0</v>
      </c>
      <c r="F65" s="143">
        <f>F33-'[3]23當年離退-性別'!F33</f>
        <v>0</v>
      </c>
      <c r="G65" s="143">
        <f>G33-'[3]23當年離退-性別'!G33</f>
        <v>0</v>
      </c>
      <c r="H65" s="143">
        <f>H33-'[3]23當年離退-性別'!H33</f>
        <v>0</v>
      </c>
      <c r="I65" s="143">
        <f>I33-'[3]23當年離退-性別'!I33</f>
        <v>0</v>
      </c>
      <c r="J65" s="143">
        <f>J33-'[3]23當年離退-性別'!J33</f>
        <v>0</v>
      </c>
      <c r="K65" s="143">
        <f>K33-'[3]23當年離退-性別'!K33</f>
        <v>0</v>
      </c>
      <c r="L65" s="143">
        <f>L33-'[3]23當年離退-性別'!L33</f>
        <v>0</v>
      </c>
      <c r="M65" s="143">
        <f>M33-'[3]23當年離退-性別'!M33</f>
        <v>0</v>
      </c>
      <c r="N65" s="143">
        <f>N33-'[3]23當年離退-性別'!N33</f>
        <v>0</v>
      </c>
      <c r="O65" s="143">
        <f>O33-'[3]23當年離退-性別'!O33</f>
        <v>0</v>
      </c>
      <c r="P65" s="143">
        <f>P33-'[3]23當年離退-性別'!P33</f>
        <v>0</v>
      </c>
    </row>
  </sheetData>
  <mergeCells count="7">
    <mergeCell ref="A35:P35"/>
    <mergeCell ref="A1:H1"/>
    <mergeCell ref="A2:H2"/>
    <mergeCell ref="A3:A4"/>
    <mergeCell ref="B3:F3"/>
    <mergeCell ref="G3:H3"/>
    <mergeCell ref="L3:P3"/>
  </mergeCells>
  <phoneticPr fontId="3" type="noConversion"/>
  <pageMargins left="0.62992125984251968" right="0" top="0.59055118110236227" bottom="0.55000000000000004" header="0" footer="0"/>
  <pageSetup paperSize="9" scale="97" orientation="portrait" r:id="rId1"/>
  <headerFooter alignWithMargins="0"/>
  <colBreaks count="1" manualBreakCount="1">
    <brk id="8" max="1048575" man="1"/>
  </colBreaks>
</worksheet>
</file>

<file path=xl/worksheets/sheet26.xml><?xml version="1.0" encoding="utf-8"?>
<worksheet xmlns="http://schemas.openxmlformats.org/spreadsheetml/2006/main" xmlns:r="http://schemas.openxmlformats.org/officeDocument/2006/relationships">
  <sheetPr>
    <tabColor indexed="13"/>
  </sheetPr>
  <dimension ref="A1:O37"/>
  <sheetViews>
    <sheetView view="pageBreakPreview" zoomScale="90" zoomScaleNormal="80" zoomScaleSheetLayoutView="90" workbookViewId="0">
      <pane xSplit="1" ySplit="5" topLeftCell="B18"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5.75"/>
  <cols>
    <col min="1" max="1" width="14.625" style="683" customWidth="1"/>
    <col min="2" max="9" width="10" style="683" customWidth="1"/>
    <col min="10" max="10" width="9.625" style="683" bestFit="1" customWidth="1"/>
    <col min="11" max="16384" width="9" style="683"/>
  </cols>
  <sheetData>
    <row r="1" spans="1:15" s="122" customFormat="1" ht="33" customHeight="1">
      <c r="A1" s="849" t="s">
        <v>291</v>
      </c>
      <c r="B1" s="849"/>
      <c r="C1" s="849"/>
      <c r="D1" s="849"/>
      <c r="E1" s="849"/>
      <c r="F1" s="849"/>
      <c r="G1" s="849"/>
      <c r="H1" s="849"/>
      <c r="I1" s="849"/>
    </row>
    <row r="2" spans="1:15" s="122" customFormat="1" ht="25.35" customHeight="1">
      <c r="A2" s="877" t="s">
        <v>292</v>
      </c>
      <c r="B2" s="877"/>
      <c r="C2" s="877"/>
      <c r="D2" s="877"/>
      <c r="E2" s="877"/>
      <c r="F2" s="877"/>
      <c r="G2" s="877"/>
      <c r="H2" s="877"/>
      <c r="I2" s="877"/>
    </row>
    <row r="3" spans="1:15" s="150" customFormat="1" ht="33" customHeight="1">
      <c r="A3" s="878" t="s">
        <v>411</v>
      </c>
      <c r="B3" s="878"/>
      <c r="C3" s="878"/>
      <c r="D3" s="878"/>
      <c r="E3" s="878"/>
      <c r="F3" s="878"/>
      <c r="G3" s="878"/>
      <c r="H3" s="879" t="s">
        <v>167</v>
      </c>
      <c r="I3" s="879"/>
    </row>
    <row r="4" spans="1:15" s="748" customFormat="1" ht="35.1" customHeight="1">
      <c r="A4" s="847" t="s">
        <v>48</v>
      </c>
      <c r="B4" s="858" t="s">
        <v>43</v>
      </c>
      <c r="C4" s="846"/>
      <c r="D4" s="858" t="s">
        <v>44</v>
      </c>
      <c r="E4" s="846"/>
      <c r="F4" s="858" t="s">
        <v>45</v>
      </c>
      <c r="G4" s="846"/>
      <c r="H4" s="858" t="s">
        <v>46</v>
      </c>
      <c r="I4" s="846"/>
    </row>
    <row r="5" spans="1:15" s="748" customFormat="1" ht="35.1" customHeight="1">
      <c r="A5" s="847"/>
      <c r="B5" s="761" t="s">
        <v>168</v>
      </c>
      <c r="C5" s="679" t="s">
        <v>94</v>
      </c>
      <c r="D5" s="762" t="s">
        <v>168</v>
      </c>
      <c r="E5" s="679" t="s">
        <v>94</v>
      </c>
      <c r="F5" s="762" t="s">
        <v>168</v>
      </c>
      <c r="G5" s="679" t="s">
        <v>94</v>
      </c>
      <c r="H5" s="762" t="s">
        <v>168</v>
      </c>
      <c r="I5" s="678" t="s">
        <v>94</v>
      </c>
      <c r="J5" s="150" t="s">
        <v>439</v>
      </c>
    </row>
    <row r="6" spans="1:15" s="753" customFormat="1" ht="40.15" customHeight="1">
      <c r="A6" s="763" t="s">
        <v>50</v>
      </c>
      <c r="B6" s="157">
        <v>0</v>
      </c>
      <c r="C6" s="157">
        <v>0</v>
      </c>
      <c r="D6" s="157">
        <v>41359.113415424501</v>
      </c>
      <c r="E6" s="155">
        <v>58.266040181464703</v>
      </c>
      <c r="F6" s="157">
        <v>52123.090683229799</v>
      </c>
      <c r="G6" s="155">
        <v>60.995031055900597</v>
      </c>
      <c r="H6" s="157">
        <v>19351.940581982901</v>
      </c>
      <c r="I6" s="155">
        <v>29.085554974734301</v>
      </c>
      <c r="J6" s="764">
        <f>ROUND((D7*'11當年退離(公)-性別'!$C$10+'24退休平均俸額-性別'!D8*'11當年退離(公)-性別'!$C$11)/'11當年退離(公)-性別'!$C$9,0)-D6</f>
        <v>-0.11341542450099951</v>
      </c>
      <c r="K6" s="764">
        <f>ROUND((E7*'11當年退離(公)-性別'!$C$10+'24退休平均俸額-性別'!E8*'11當年退離(公)-性別'!$C$11)/'11當年退離(公)-性別'!$C$9,2)-E6</f>
        <v>3.9598185353000304E-3</v>
      </c>
      <c r="L6" s="764">
        <f>ROUND((F7*'12當年退離(教)-性別'!$C$10+'24退休平均俸額-性別'!F8*'12當年退離(教)-性別'!$C$11)/'12當年退離(教)-性別'!$C$9,0)-'24退休平均俸額-性別'!F6</f>
        <v>-9.0683229798742104E-2</v>
      </c>
      <c r="M6" s="764">
        <f>ROUND((G7*'12當年退離(教)-性別'!$C$10+'24退休平均俸額-性別'!G8*'12當年退離(教)-性別'!$C$11)/'12當年退離(教)-性別'!$C$9,2)-'24退休平均俸額-性別'!G6</f>
        <v>4.968944099402961E-3</v>
      </c>
      <c r="N6" s="764">
        <f>ROUND((H7*'17退伍(軍)-性別'!$B$6+'24退休平均俸額-性別'!H8*'17退伍(軍)-性別'!$B$7)/'17退伍(軍)-性別'!$B$5,0)-'24退休平均俸額-性別'!H6</f>
        <v>5.9418017099233111E-2</v>
      </c>
      <c r="O6" s="764">
        <f>ROUND((I7*'17退伍(軍)-性別'!$B$6+'24退休平均俸額-性別'!I8*'17退伍(軍)-性別'!$B$7)/'17退伍(軍)-性別'!$B$5,2)-'24退休平均俸額-性別'!I6</f>
        <v>4.4450252656993428E-3</v>
      </c>
    </row>
    <row r="7" spans="1:15" s="150" customFormat="1" ht="40.15" customHeight="1">
      <c r="A7" s="156" t="s">
        <v>399</v>
      </c>
      <c r="B7" s="157">
        <v>0</v>
      </c>
      <c r="C7" s="157">
        <v>0</v>
      </c>
      <c r="D7" s="157">
        <v>42361.9260433175</v>
      </c>
      <c r="E7" s="155">
        <v>58.509244585314299</v>
      </c>
      <c r="F7" s="157">
        <v>53197.916666666701</v>
      </c>
      <c r="G7" s="155">
        <v>62.287878787878803</v>
      </c>
      <c r="H7" s="157">
        <v>19322.1090605674</v>
      </c>
      <c r="I7" s="155">
        <v>29.052910572298</v>
      </c>
      <c r="J7" s="752"/>
      <c r="K7" s="752"/>
      <c r="L7" s="752"/>
      <c r="M7" s="752"/>
      <c r="N7" s="752"/>
      <c r="O7" s="149"/>
    </row>
    <row r="8" spans="1:15" s="150" customFormat="1" ht="40.15" customHeight="1">
      <c r="A8" s="156" t="s">
        <v>401</v>
      </c>
      <c r="B8" s="157">
        <v>0</v>
      </c>
      <c r="C8" s="157">
        <v>0</v>
      </c>
      <c r="D8" s="157">
        <v>39767.894383906103</v>
      </c>
      <c r="E8" s="155">
        <v>57.880134115674799</v>
      </c>
      <c r="F8" s="157">
        <v>50074.324909747302</v>
      </c>
      <c r="G8" s="155">
        <v>58.530685920577596</v>
      </c>
      <c r="H8" s="157">
        <v>19587.3346243222</v>
      </c>
      <c r="I8" s="155">
        <v>29.343144848954299</v>
      </c>
      <c r="J8" s="752"/>
      <c r="K8" s="752"/>
      <c r="L8" s="752"/>
      <c r="M8" s="752"/>
      <c r="N8" s="752"/>
      <c r="O8" s="149"/>
    </row>
    <row r="9" spans="1:15" s="753" customFormat="1" ht="40.15" customHeight="1">
      <c r="A9" s="765" t="s">
        <v>301</v>
      </c>
      <c r="B9" s="157">
        <v>0</v>
      </c>
      <c r="C9" s="157">
        <v>0</v>
      </c>
      <c r="D9" s="157">
        <v>40083.286579212901</v>
      </c>
      <c r="E9" s="155">
        <v>56.389505549949497</v>
      </c>
      <c r="F9" s="157">
        <v>47962.169990933799</v>
      </c>
      <c r="G9" s="155">
        <v>53.687216681777002</v>
      </c>
      <c r="H9" s="157">
        <v>0</v>
      </c>
      <c r="I9" s="155">
        <v>0</v>
      </c>
      <c r="J9" s="764">
        <f>ROUND((D10*'11當年退離(公)-性別'!$C$13+'24退休平均俸額-性別'!D11*'11當年退離(公)-性別'!$C$14)/'11當年退離(公)-性別'!$C$12,0)-D9</f>
        <v>-0.2865792129014153</v>
      </c>
      <c r="K9" s="764">
        <f>ROUND((E10*'11當年退離(公)-性別'!$C$13+'24退休平均俸額-性別'!E11*'11當年退離(公)-性別'!$C$14)/'11當年退離(公)-性別'!$C$12,2)-E9</f>
        <v>4.9445005050330337E-4</v>
      </c>
      <c r="L9" s="764">
        <f>ROUND((F10*'12當年退離(教)-性別'!$C$13+'24退休平均俸額-性別'!F11*'12當年退離(教)-性別'!$C$14)/'12當年退離(教)-性別'!$C$12,0)-'24退休平均俸額-性別'!F9</f>
        <v>-0.16999093379854457</v>
      </c>
      <c r="M9" s="764">
        <f>ROUND((G10*'12當年退離(教)-性別'!$C$13+'24退休平均俸額-性別'!G11*'12當年退離(教)-性別'!$C$14)/'12當年退離(教)-性別'!$C$12,2)-'24退休平均俸額-性別'!G9</f>
        <v>2.78331822299549E-3</v>
      </c>
    </row>
    <row r="10" spans="1:15" s="150" customFormat="1" ht="40.15" customHeight="1">
      <c r="A10" s="156" t="s">
        <v>399</v>
      </c>
      <c r="B10" s="157">
        <v>0</v>
      </c>
      <c r="C10" s="157">
        <v>0</v>
      </c>
      <c r="D10" s="157">
        <v>41438.294222222197</v>
      </c>
      <c r="E10" s="155">
        <v>55.386666666666699</v>
      </c>
      <c r="F10" s="157">
        <v>48280.627565982402</v>
      </c>
      <c r="G10" s="155">
        <v>53.734604105571798</v>
      </c>
      <c r="H10" s="157">
        <v>0</v>
      </c>
      <c r="I10" s="155">
        <v>0</v>
      </c>
      <c r="J10" s="752"/>
      <c r="K10" s="752"/>
      <c r="L10" s="752"/>
      <c r="M10" s="752"/>
      <c r="N10" s="752"/>
      <c r="O10" s="149"/>
    </row>
    <row r="11" spans="1:15" s="150" customFormat="1" ht="40.15" customHeight="1">
      <c r="A11" s="156" t="s">
        <v>401</v>
      </c>
      <c r="B11" s="157">
        <v>0</v>
      </c>
      <c r="C11" s="157">
        <v>0</v>
      </c>
      <c r="D11" s="157">
        <v>38304.542590431702</v>
      </c>
      <c r="E11" s="155">
        <v>57.705950991831997</v>
      </c>
      <c r="F11" s="157">
        <v>47819.658136482904</v>
      </c>
      <c r="G11" s="155">
        <v>53.666010498687697</v>
      </c>
      <c r="H11" s="157">
        <v>0</v>
      </c>
      <c r="I11" s="155">
        <v>0</v>
      </c>
      <c r="J11" s="752"/>
      <c r="K11" s="752"/>
      <c r="L11" s="752"/>
      <c r="M11" s="752"/>
      <c r="N11" s="752"/>
      <c r="O11" s="149"/>
    </row>
    <row r="12" spans="1:15" s="753" customFormat="1" ht="40.15" customHeight="1">
      <c r="A12" s="765" t="s">
        <v>51</v>
      </c>
      <c r="B12" s="157">
        <v>0</v>
      </c>
      <c r="C12" s="157">
        <v>0</v>
      </c>
      <c r="D12" s="157">
        <v>40529.491495076101</v>
      </c>
      <c r="E12" s="155">
        <v>55.059982094897002</v>
      </c>
      <c r="F12" s="157">
        <v>47936.278654048401</v>
      </c>
      <c r="G12" s="155">
        <v>53.786540483701401</v>
      </c>
      <c r="H12" s="157">
        <v>0</v>
      </c>
      <c r="I12" s="155">
        <v>0</v>
      </c>
      <c r="J12" s="764">
        <f>ROUND((D13*'11當年退離(公)-性別'!$C$16+'24退休平均俸額-性別'!D14*'11當年退離(公)-性別'!$C$17)/'11當年退離(公)-性別'!$C$15,0)-D12</f>
        <v>-0.4914950761012733</v>
      </c>
      <c r="K12" s="764">
        <f>ROUND((E13*'11當年退離(公)-性別'!$C$16+'24退休平均俸額-性別'!E14*'11當年退離(公)-性別'!$C$17)/'11當年退離(公)-性別'!$C$15,2)-E12</f>
        <v>1.7905103000259714E-5</v>
      </c>
      <c r="L12" s="764">
        <f>ROUND((F13*'12當年退離(教)-性別'!$C$16+'24退休平均俸額-性別'!F14*'12當年退離(教)-性別'!$C$17)/'12當年退離(教)-性別'!$C$15,0)-'24退休平均俸額-性別'!F12</f>
        <v>-0.2786540484012221</v>
      </c>
      <c r="M12" s="764">
        <f>ROUND((G13*'12當年退離(教)-性別'!$C$16+'24退休平均俸額-性別'!G14*'12當年退離(教)-性別'!$C$17)/'12當年退離(教)-性別'!$C$15,2)-'24退休平均俸額-性別'!G12</f>
        <v>3.4595162985979755E-3</v>
      </c>
    </row>
    <row r="13" spans="1:15" s="150" customFormat="1" ht="40.15" customHeight="1">
      <c r="A13" s="156" t="s">
        <v>399</v>
      </c>
      <c r="B13" s="157">
        <v>0</v>
      </c>
      <c r="C13" s="157">
        <v>0</v>
      </c>
      <c r="D13" s="157">
        <v>41415.937254901997</v>
      </c>
      <c r="E13" s="155">
        <v>53.781699346405198</v>
      </c>
      <c r="F13" s="157">
        <v>48180.658307209997</v>
      </c>
      <c r="G13" s="155">
        <v>54.319749216300899</v>
      </c>
      <c r="H13" s="157">
        <v>0</v>
      </c>
      <c r="I13" s="155">
        <v>0</v>
      </c>
      <c r="J13" s="752"/>
      <c r="K13" s="752"/>
      <c r="L13" s="752"/>
      <c r="M13" s="752"/>
      <c r="N13" s="752"/>
      <c r="O13" s="149"/>
    </row>
    <row r="14" spans="1:15" s="150" customFormat="1" ht="40.15" customHeight="1">
      <c r="A14" s="156" t="s">
        <v>401</v>
      </c>
      <c r="B14" s="157">
        <v>0</v>
      </c>
      <c r="C14" s="157">
        <v>0</v>
      </c>
      <c r="D14" s="157">
        <v>38602.9829545455</v>
      </c>
      <c r="E14" s="155">
        <v>57.838068181818201</v>
      </c>
      <c r="F14" s="157">
        <v>47812.928797468398</v>
      </c>
      <c r="G14" s="155">
        <v>53.5174050632911</v>
      </c>
      <c r="H14" s="157">
        <v>0</v>
      </c>
      <c r="I14" s="155">
        <v>0</v>
      </c>
      <c r="J14" s="752"/>
      <c r="K14" s="752"/>
      <c r="L14" s="752"/>
      <c r="M14" s="752"/>
      <c r="N14" s="752"/>
      <c r="O14" s="149"/>
    </row>
    <row r="15" spans="1:15" s="753" customFormat="1" ht="40.15" customHeight="1">
      <c r="A15" s="765" t="s">
        <v>302</v>
      </c>
      <c r="B15" s="157">
        <v>0</v>
      </c>
      <c r="C15" s="157">
        <v>0</v>
      </c>
      <c r="D15" s="157">
        <v>36376.851515151502</v>
      </c>
      <c r="E15" s="155">
        <v>59.563636363636398</v>
      </c>
      <c r="F15" s="157">
        <v>0</v>
      </c>
      <c r="G15" s="155">
        <v>0</v>
      </c>
      <c r="H15" s="157">
        <v>0</v>
      </c>
      <c r="I15" s="155">
        <v>0</v>
      </c>
      <c r="J15" s="764">
        <f>ROUND((D16*'11當年退離(公)-性別'!$C$19+'24退休平均俸額-性別'!D17*'11當年退離(公)-性別'!$C$20)/'11當年退離(公)-性別'!$C$18,0)-D15</f>
        <v>0.14848484849790111</v>
      </c>
      <c r="K15" s="764">
        <f>ROUND((E16*'11當年退離(公)-性別'!$C$19+'24退休平均俸額-性別'!E17*'11當年退離(公)-性別'!$C$20)/'11當年退離(公)-性別'!$C$18,2)-E15</f>
        <v>-3.6363636363958562E-3</v>
      </c>
    </row>
    <row r="16" spans="1:15" s="150" customFormat="1" ht="40.15" customHeight="1">
      <c r="A16" s="156" t="s">
        <v>399</v>
      </c>
      <c r="B16" s="157">
        <v>0</v>
      </c>
      <c r="C16" s="157">
        <v>0</v>
      </c>
      <c r="D16" s="157">
        <v>38782.954838709702</v>
      </c>
      <c r="E16" s="155">
        <v>58</v>
      </c>
      <c r="F16" s="157">
        <v>0</v>
      </c>
      <c r="G16" s="155">
        <v>0</v>
      </c>
      <c r="H16" s="157">
        <v>0</v>
      </c>
      <c r="I16" s="155">
        <v>0</v>
      </c>
      <c r="J16" s="752"/>
      <c r="K16" s="752"/>
      <c r="L16" s="752"/>
      <c r="M16" s="752"/>
      <c r="N16" s="752"/>
      <c r="O16" s="149"/>
    </row>
    <row r="17" spans="1:15" s="150" customFormat="1" ht="40.15" customHeight="1">
      <c r="A17" s="156" t="s">
        <v>401</v>
      </c>
      <c r="B17" s="157">
        <v>0</v>
      </c>
      <c r="C17" s="157">
        <v>0</v>
      </c>
      <c r="D17" s="157">
        <v>34245.731428571402</v>
      </c>
      <c r="E17" s="155">
        <v>60.948571428571398</v>
      </c>
      <c r="F17" s="157">
        <v>0</v>
      </c>
      <c r="G17" s="155">
        <v>0</v>
      </c>
      <c r="H17" s="157">
        <v>0</v>
      </c>
      <c r="I17" s="155">
        <v>0</v>
      </c>
      <c r="J17" s="752"/>
      <c r="K17" s="752"/>
      <c r="L17" s="752"/>
      <c r="M17" s="752"/>
      <c r="N17" s="752"/>
      <c r="O17" s="149"/>
    </row>
    <row r="18" spans="1:15" s="753" customFormat="1" ht="40.15" customHeight="1">
      <c r="A18" s="765" t="s">
        <v>303</v>
      </c>
      <c r="B18" s="157">
        <v>0</v>
      </c>
      <c r="C18" s="157">
        <v>0</v>
      </c>
      <c r="D18" s="157">
        <v>33901.747736093101</v>
      </c>
      <c r="E18" s="155">
        <v>59.998706338939201</v>
      </c>
      <c r="F18" s="157">
        <v>0</v>
      </c>
      <c r="G18" s="155">
        <v>0</v>
      </c>
      <c r="H18" s="157">
        <v>0</v>
      </c>
      <c r="I18" s="155">
        <v>0</v>
      </c>
      <c r="J18" s="764">
        <f>ROUND((D19*'11當年退離(公)-性別'!$C$22+'24退休平均俸額-性別'!D20*'11當年退離(公)-性別'!$C$23)/'11當年退離(公)-性別'!$C$21,0)-D18</f>
        <v>0.25226390689931577</v>
      </c>
      <c r="K18" s="764">
        <f>ROUND((E19*'11當年退離(公)-性別'!$C$22+'24退休平均俸額-性別'!E20*'11當年退離(公)-性別'!$C$23)/'11當年退離(公)-性別'!$C$21,2)-E18</f>
        <v>1.2936610607994226E-3</v>
      </c>
    </row>
    <row r="19" spans="1:15" s="150" customFormat="1" ht="40.15" customHeight="1">
      <c r="A19" s="156" t="s">
        <v>399</v>
      </c>
      <c r="B19" s="157">
        <v>0</v>
      </c>
      <c r="C19" s="157">
        <v>0</v>
      </c>
      <c r="D19" s="157">
        <v>32426.030245746701</v>
      </c>
      <c r="E19" s="155">
        <v>60.984877126654098</v>
      </c>
      <c r="F19" s="157">
        <v>0</v>
      </c>
      <c r="G19" s="155">
        <v>0</v>
      </c>
      <c r="H19" s="157">
        <v>0</v>
      </c>
      <c r="I19" s="155">
        <v>0</v>
      </c>
      <c r="J19" s="752"/>
      <c r="K19" s="752"/>
      <c r="L19" s="752"/>
      <c r="M19" s="752"/>
      <c r="N19" s="752"/>
      <c r="O19" s="149"/>
    </row>
    <row r="20" spans="1:15" s="150" customFormat="1" ht="40.15" customHeight="1">
      <c r="A20" s="158" t="s">
        <v>401</v>
      </c>
      <c r="B20" s="191">
        <v>0</v>
      </c>
      <c r="C20" s="190">
        <v>0</v>
      </c>
      <c r="D20" s="190">
        <v>37101.151639344302</v>
      </c>
      <c r="E20" s="189">
        <v>57.860655737704903</v>
      </c>
      <c r="F20" s="190">
        <v>0</v>
      </c>
      <c r="G20" s="189">
        <v>0</v>
      </c>
      <c r="H20" s="190">
        <v>0</v>
      </c>
      <c r="I20" s="189">
        <v>0</v>
      </c>
      <c r="J20" s="752"/>
      <c r="K20" s="752"/>
      <c r="L20" s="752"/>
      <c r="M20" s="752"/>
      <c r="N20" s="752"/>
      <c r="O20" s="149"/>
    </row>
    <row r="21" spans="1:15">
      <c r="A21" s="40" t="s">
        <v>169</v>
      </c>
      <c r="B21" s="9"/>
      <c r="C21" s="9"/>
      <c r="D21" s="724"/>
      <c r="E21" s="724"/>
      <c r="F21" s="724"/>
      <c r="G21" s="724"/>
      <c r="H21" s="724"/>
      <c r="I21" s="724"/>
    </row>
    <row r="22" spans="1:15">
      <c r="A22" s="40"/>
      <c r="B22" s="724"/>
      <c r="C22" s="724"/>
      <c r="D22" s="724"/>
      <c r="E22" s="724"/>
      <c r="F22" s="724"/>
      <c r="G22" s="724"/>
      <c r="H22" s="724"/>
      <c r="I22" s="724"/>
    </row>
    <row r="23" spans="1:15">
      <c r="A23" s="40"/>
      <c r="B23" s="724"/>
      <c r="C23" s="724"/>
      <c r="D23" s="724"/>
      <c r="E23" s="724"/>
      <c r="F23" s="724"/>
      <c r="G23" s="724"/>
      <c r="H23" s="724"/>
      <c r="I23" s="724"/>
    </row>
    <row r="24" spans="1:15">
      <c r="A24" s="40"/>
      <c r="B24" s="724"/>
      <c r="C24" s="724"/>
      <c r="D24" s="724"/>
      <c r="E24" s="724"/>
      <c r="F24" s="724"/>
      <c r="G24" s="724"/>
      <c r="H24" s="724"/>
      <c r="I24" s="724"/>
    </row>
    <row r="25" spans="1:15">
      <c r="A25" s="40"/>
    </row>
    <row r="26" spans="1:15">
      <c r="A26" s="724"/>
      <c r="B26" s="724"/>
      <c r="C26" s="724"/>
      <c r="D26" s="724"/>
      <c r="E26" s="724"/>
      <c r="F26" s="724"/>
      <c r="G26" s="724"/>
      <c r="H26" s="724"/>
      <c r="I26" s="724"/>
    </row>
    <row r="27" spans="1:15">
      <c r="A27" s="724"/>
      <c r="B27" s="724"/>
      <c r="C27" s="724"/>
      <c r="D27" s="724"/>
      <c r="E27" s="724"/>
      <c r="F27" s="724"/>
      <c r="G27" s="724"/>
      <c r="H27" s="724"/>
      <c r="I27" s="724"/>
    </row>
    <row r="28" spans="1:15">
      <c r="A28" s="724"/>
      <c r="B28" s="724"/>
      <c r="C28" s="724"/>
      <c r="D28" s="724"/>
      <c r="E28" s="724"/>
      <c r="F28" s="724"/>
      <c r="G28" s="724"/>
      <c r="H28" s="724"/>
      <c r="I28" s="724"/>
    </row>
    <row r="37" spans="2:3">
      <c r="B37" s="766"/>
      <c r="C37" s="766"/>
    </row>
  </sheetData>
  <mergeCells count="9">
    <mergeCell ref="A1:I1"/>
    <mergeCell ref="A2:I2"/>
    <mergeCell ref="A3:G3"/>
    <mergeCell ref="H3:I3"/>
    <mergeCell ref="H4:I4"/>
    <mergeCell ref="A4:A5"/>
    <mergeCell ref="B4:C4"/>
    <mergeCell ref="D4:E4"/>
    <mergeCell ref="F4:G4"/>
  </mergeCells>
  <phoneticPr fontId="3" type="noConversion"/>
  <pageMargins left="0.48" right="0" top="0.59055118110236227" bottom="0.34" header="0.18" footer="0"/>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tabColor indexed="13"/>
  </sheetPr>
  <dimension ref="A1:O37"/>
  <sheetViews>
    <sheetView view="pageBreakPreview" zoomScale="85" zoomScaleNormal="80" zoomScaleSheetLayoutView="90" workbookViewId="0">
      <pane xSplit="1" ySplit="5" topLeftCell="B11"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5.75"/>
  <cols>
    <col min="1" max="1" width="13.875" style="683" customWidth="1"/>
    <col min="2" max="9" width="10" style="683" customWidth="1"/>
    <col min="10" max="16384" width="9" style="683"/>
  </cols>
  <sheetData>
    <row r="1" spans="1:15" s="122" customFormat="1" ht="33" customHeight="1">
      <c r="A1" s="849" t="s">
        <v>305</v>
      </c>
      <c r="B1" s="849"/>
      <c r="C1" s="849"/>
      <c r="D1" s="849"/>
      <c r="E1" s="849"/>
      <c r="F1" s="849"/>
      <c r="G1" s="849"/>
      <c r="H1" s="849"/>
      <c r="I1" s="849"/>
    </row>
    <row r="2" spans="1:15" s="122" customFormat="1" ht="25.35" customHeight="1">
      <c r="A2" s="877" t="s">
        <v>306</v>
      </c>
      <c r="B2" s="877"/>
      <c r="C2" s="877"/>
      <c r="D2" s="877"/>
      <c r="E2" s="877"/>
      <c r="F2" s="877"/>
      <c r="G2" s="877"/>
      <c r="H2" s="877"/>
      <c r="I2" s="877"/>
    </row>
    <row r="3" spans="1:15" s="150" customFormat="1" ht="33" customHeight="1">
      <c r="A3" s="878" t="s">
        <v>412</v>
      </c>
      <c r="B3" s="878"/>
      <c r="C3" s="878"/>
      <c r="D3" s="878"/>
      <c r="E3" s="878"/>
      <c r="F3" s="878"/>
      <c r="G3" s="878"/>
      <c r="H3" s="879" t="s">
        <v>167</v>
      </c>
      <c r="I3" s="879"/>
    </row>
    <row r="4" spans="1:15" s="748" customFormat="1" ht="35.1" customHeight="1">
      <c r="A4" s="847" t="s">
        <v>48</v>
      </c>
      <c r="B4" s="880" t="s">
        <v>43</v>
      </c>
      <c r="C4" s="881"/>
      <c r="D4" s="880" t="s">
        <v>44</v>
      </c>
      <c r="E4" s="881"/>
      <c r="F4" s="880" t="s">
        <v>45</v>
      </c>
      <c r="G4" s="881"/>
      <c r="H4" s="880" t="s">
        <v>46</v>
      </c>
      <c r="I4" s="881"/>
    </row>
    <row r="5" spans="1:15" s="748" customFormat="1" ht="35.1" customHeight="1">
      <c r="A5" s="847"/>
      <c r="B5" s="767" t="s">
        <v>168</v>
      </c>
      <c r="C5" s="768" t="s">
        <v>94</v>
      </c>
      <c r="D5" s="769" t="s">
        <v>168</v>
      </c>
      <c r="E5" s="768" t="s">
        <v>94</v>
      </c>
      <c r="F5" s="767" t="s">
        <v>168</v>
      </c>
      <c r="G5" s="768" t="s">
        <v>94</v>
      </c>
      <c r="H5" s="769" t="s">
        <v>168</v>
      </c>
      <c r="I5" s="770" t="s">
        <v>94</v>
      </c>
      <c r="J5" s="150" t="s">
        <v>439</v>
      </c>
    </row>
    <row r="6" spans="1:15" s="753" customFormat="1" ht="40.35" customHeight="1">
      <c r="A6" s="763" t="s">
        <v>50</v>
      </c>
      <c r="B6" s="155">
        <v>0</v>
      </c>
      <c r="C6" s="155">
        <v>0</v>
      </c>
      <c r="D6" s="157">
        <v>35431.0136986301</v>
      </c>
      <c r="E6" s="155">
        <v>50.246575342465697</v>
      </c>
      <c r="F6" s="157">
        <v>44808.727272727301</v>
      </c>
      <c r="G6" s="155">
        <v>51.454545454545404</v>
      </c>
      <c r="H6" s="157">
        <v>23473.695652173901</v>
      </c>
      <c r="I6" s="155">
        <v>26.5797101449275</v>
      </c>
      <c r="J6" s="764">
        <f>ROUND((D7*'11當年退離(公)-性別'!$H$10+'25撫卹平均俸額-性別'!D8*'11當年退離(公)-性別'!$H$11)/'11當年退離(公)-性別'!$H$9,0)-'25撫卹平均俸額-性別'!D6</f>
        <v>-1.3698630100407172E-2</v>
      </c>
      <c r="K6" s="764">
        <f>ROUND((E7*'11當年退離(公)-性別'!$H$10+'25撫卹平均俸額-性別'!E8*'11當年退離(公)-性別'!$H$11)/'11當年退離(公)-性別'!$H$9,2)-'25撫卹平均俸額-性別'!E6</f>
        <v>3.4246575343033214E-3</v>
      </c>
      <c r="L6" s="764">
        <f>ROUND((F7*'12當年退離(教)-性別'!$H$10+F8*'12當年退離(教)-性別'!$H$11)/'12當年退離(教)-性別'!$H$9,0)-F6</f>
        <v>0.27272727269883035</v>
      </c>
      <c r="M6" s="764">
        <f>ROUND((G7*'12當年退離(教)-性別'!$H$10+G8*'12當年退離(教)-性別'!$H$11)/'12當年退離(教)-性別'!$H$9,2)-G6</f>
        <v>-4.5454545454006734E-3</v>
      </c>
      <c r="N6" s="764">
        <f>ROUND((H7*'22撫卹(軍)-性別'!$B$6+'25撫卹平均俸額-性別'!H8*'22撫卹(軍)-性別'!$B$7)/'22撫卹(軍)-性別'!$B$5,0)-'25撫卹平均俸額-性別'!H6</f>
        <v>0.3043478260988195</v>
      </c>
      <c r="O6" s="764">
        <f>ROUND((I7*'22撫卹(軍)-性別'!$B$6+'25撫卹平均俸額-性別'!I8*'22撫卹(軍)-性別'!$B$7)/'22撫卹(軍)-性別'!$B$5,2)-'25撫卹平均俸額-性別'!I6</f>
        <v>2.8985507249856823E-4</v>
      </c>
    </row>
    <row r="7" spans="1:15" s="150" customFormat="1" ht="40.35" customHeight="1">
      <c r="A7" s="156" t="s">
        <v>399</v>
      </c>
      <c r="B7" s="155">
        <v>0</v>
      </c>
      <c r="C7" s="155">
        <v>0</v>
      </c>
      <c r="D7" s="157">
        <v>36893.085106382998</v>
      </c>
      <c r="E7" s="155">
        <v>51.808510638297903</v>
      </c>
      <c r="F7" s="157">
        <v>45974.333333333299</v>
      </c>
      <c r="G7" s="155">
        <v>51.3333333333333</v>
      </c>
      <c r="H7" s="157">
        <v>23801.349206349201</v>
      </c>
      <c r="I7" s="155">
        <v>26.682539682539701</v>
      </c>
      <c r="J7" s="752"/>
      <c r="K7" s="752"/>
      <c r="L7" s="752"/>
      <c r="M7" s="752"/>
      <c r="N7" s="752"/>
      <c r="O7" s="149"/>
    </row>
    <row r="8" spans="1:15" s="150" customFormat="1" ht="40.35" customHeight="1">
      <c r="A8" s="156" t="s">
        <v>401</v>
      </c>
      <c r="B8" s="155">
        <v>0</v>
      </c>
      <c r="C8" s="155">
        <v>0</v>
      </c>
      <c r="D8" s="157">
        <v>32788.038461538497</v>
      </c>
      <c r="E8" s="155">
        <v>47.423076923076898</v>
      </c>
      <c r="F8" s="157">
        <v>42311</v>
      </c>
      <c r="G8" s="155">
        <v>51.714285714285701</v>
      </c>
      <c r="H8" s="157">
        <v>20033.333333333299</v>
      </c>
      <c r="I8" s="155">
        <v>25.5</v>
      </c>
      <c r="J8" s="752"/>
      <c r="K8" s="752"/>
      <c r="L8" s="752"/>
      <c r="M8" s="752"/>
      <c r="N8" s="752"/>
      <c r="O8" s="149"/>
    </row>
    <row r="9" spans="1:15" s="753" customFormat="1" ht="40.35" customHeight="1">
      <c r="A9" s="156" t="s">
        <v>301</v>
      </c>
      <c r="B9" s="155">
        <v>0</v>
      </c>
      <c r="C9" s="155">
        <v>0</v>
      </c>
      <c r="D9" s="157">
        <v>35067.397058823502</v>
      </c>
      <c r="E9" s="155">
        <v>47.088235294117602</v>
      </c>
      <c r="F9" s="157">
        <v>42067.775862069</v>
      </c>
      <c r="G9" s="155">
        <v>47.465517241379303</v>
      </c>
      <c r="H9" s="155">
        <v>0</v>
      </c>
      <c r="I9" s="155">
        <v>0</v>
      </c>
      <c r="J9" s="764">
        <f>ROUND((D10*'11當年退離(公)-性別'!$H$13+'25撫卹平均俸額-性別'!D11*'11當年退離(公)-性別'!$H$14)/'11當年退離(公)-性別'!$H$12,0)-'25撫卹平均俸額-性別'!D9</f>
        <v>-0.39705882350244792</v>
      </c>
      <c r="K9" s="764">
        <f>ROUND((E10*'11當年退離(公)-性別'!$H$13+'25撫卹平均俸額-性別'!E11*'11當年退離(公)-性別'!$H$14)/'11當年退離(公)-性別'!$H$12,2)-'25撫卹平均俸額-性別'!E9</f>
        <v>1.7647058824010742E-3</v>
      </c>
      <c r="L9" s="764">
        <f>ROUND((F10*'12當年退離(教)-性別'!$H$13+F11*'12當年退離(教)-性別'!$H$14)/'12當年退離(教)-性別'!$H$12,0)-F9</f>
        <v>0.22413793099985924</v>
      </c>
      <c r="M9" s="764">
        <f>ROUND((G10*'12當年退離(教)-性別'!$H$13+G11*'12當年退離(教)-性別'!$H$14)/'12當年退離(教)-性別'!$H$12,2)-G9</f>
        <v>4.4827586206963588E-3</v>
      </c>
    </row>
    <row r="10" spans="1:15" s="150" customFormat="1" ht="40.35" customHeight="1">
      <c r="A10" s="156" t="s">
        <v>399</v>
      </c>
      <c r="B10" s="155">
        <v>0</v>
      </c>
      <c r="C10" s="155">
        <v>0</v>
      </c>
      <c r="D10" s="157">
        <v>35309.699999999997</v>
      </c>
      <c r="E10" s="155">
        <v>45.82</v>
      </c>
      <c r="F10" s="157">
        <v>44047.483870967699</v>
      </c>
      <c r="G10" s="155">
        <v>49</v>
      </c>
      <c r="H10" s="155">
        <v>0</v>
      </c>
      <c r="I10" s="155">
        <v>0</v>
      </c>
      <c r="J10" s="752"/>
      <c r="K10" s="752"/>
      <c r="L10" s="752"/>
      <c r="M10" s="752"/>
      <c r="N10" s="752"/>
      <c r="O10" s="149"/>
    </row>
    <row r="11" spans="1:15" s="150" customFormat="1" ht="40.35" customHeight="1">
      <c r="A11" s="156" t="s">
        <v>401</v>
      </c>
      <c r="B11" s="155">
        <v>0</v>
      </c>
      <c r="C11" s="155">
        <v>0</v>
      </c>
      <c r="D11" s="157">
        <v>34394.333333333299</v>
      </c>
      <c r="E11" s="155">
        <v>50.6111111111111</v>
      </c>
      <c r="F11" s="157">
        <v>39794.777777777803</v>
      </c>
      <c r="G11" s="155">
        <v>45.703703703703702</v>
      </c>
      <c r="H11" s="155">
        <v>0</v>
      </c>
      <c r="I11" s="155">
        <v>0</v>
      </c>
      <c r="J11" s="752"/>
      <c r="K11" s="752"/>
      <c r="L11" s="752"/>
      <c r="M11" s="752"/>
      <c r="N11" s="752"/>
      <c r="O11" s="149"/>
    </row>
    <row r="12" spans="1:15" s="753" customFormat="1" ht="40.35" customHeight="1">
      <c r="A12" s="156" t="s">
        <v>51</v>
      </c>
      <c r="B12" s="155">
        <v>0</v>
      </c>
      <c r="C12" s="155">
        <v>0</v>
      </c>
      <c r="D12" s="157">
        <v>33938.452380952403</v>
      </c>
      <c r="E12" s="155">
        <v>47.071428571428598</v>
      </c>
      <c r="F12" s="157">
        <v>41193.083333333299</v>
      </c>
      <c r="G12" s="155">
        <v>46.7916666666667</v>
      </c>
      <c r="H12" s="155">
        <v>0</v>
      </c>
      <c r="I12" s="155">
        <v>0</v>
      </c>
      <c r="J12" s="764">
        <f>ROUND((D13*'11當年退離(公)-性別'!$H$16+'25撫卹平均俸額-性別'!D14*'11當年退離(公)-性別'!$H$17)/'11當年退離(公)-性別'!$H$15,0)-'25撫卹平均俸額-性別'!D12</f>
        <v>-0.4523809524034732</v>
      </c>
      <c r="K12" s="764">
        <f>ROUND((E13*'11當年退離(公)-性別'!$H$16+'25撫卹平均俸額-性別'!E14*'11當年退離(公)-性別'!$H$17)/'11當年退離(公)-性別'!$H$15,2)-'25撫卹平均俸額-性別'!E12</f>
        <v>-1.4285714285975359E-3</v>
      </c>
      <c r="L12" s="764">
        <f>ROUND((F13*'12當年退離(教)-性別'!$H$16+F14*'12當年退離(教)-性別'!$H$17)/'12當年退離(教)-性別'!$H$15,0)-F12</f>
        <v>-8.3333333299378864E-2</v>
      </c>
      <c r="M12" s="764">
        <f>ROUND((G13*'12當年退離(教)-性別'!$H$16+G14*'12當年退離(教)-性別'!$H$17)/'12當年退離(教)-性別'!$H$15,2)-G12</f>
        <v>-1.666666666700678E-3</v>
      </c>
    </row>
    <row r="13" spans="1:15" s="150" customFormat="1" ht="40.35" customHeight="1">
      <c r="A13" s="156" t="s">
        <v>399</v>
      </c>
      <c r="B13" s="155">
        <v>0</v>
      </c>
      <c r="C13" s="155">
        <v>0</v>
      </c>
      <c r="D13" s="157">
        <v>32723.90625</v>
      </c>
      <c r="E13" s="155">
        <v>46.3125</v>
      </c>
      <c r="F13" s="157">
        <v>43267.199999999997</v>
      </c>
      <c r="G13" s="155">
        <v>47.866666666666703</v>
      </c>
      <c r="H13" s="155">
        <v>0</v>
      </c>
      <c r="I13" s="155">
        <v>0</v>
      </c>
      <c r="J13" s="752"/>
      <c r="K13" s="752"/>
      <c r="L13" s="752"/>
      <c r="M13" s="752"/>
      <c r="N13" s="752"/>
      <c r="O13" s="149"/>
    </row>
    <row r="14" spans="1:15" s="150" customFormat="1" ht="40.35" customHeight="1">
      <c r="A14" s="156" t="s">
        <v>401</v>
      </c>
      <c r="B14" s="155">
        <v>0</v>
      </c>
      <c r="C14" s="155">
        <v>0</v>
      </c>
      <c r="D14" s="157">
        <v>37825</v>
      </c>
      <c r="E14" s="155">
        <v>49.5</v>
      </c>
      <c r="F14" s="157">
        <v>37736.222222222197</v>
      </c>
      <c r="G14" s="155">
        <v>45</v>
      </c>
      <c r="H14" s="155">
        <v>0</v>
      </c>
      <c r="I14" s="155">
        <v>0</v>
      </c>
      <c r="J14" s="752"/>
      <c r="K14" s="752"/>
      <c r="L14" s="752"/>
      <c r="M14" s="752"/>
      <c r="N14" s="752"/>
      <c r="O14" s="149"/>
    </row>
    <row r="15" spans="1:15" s="753" customFormat="1" ht="40.35" customHeight="1">
      <c r="A15" s="156" t="s">
        <v>302</v>
      </c>
      <c r="B15" s="155">
        <v>0</v>
      </c>
      <c r="C15" s="155">
        <v>0</v>
      </c>
      <c r="D15" s="157">
        <v>29142.357142857101</v>
      </c>
      <c r="E15" s="155">
        <v>50.857142857142797</v>
      </c>
      <c r="F15" s="155">
        <v>0</v>
      </c>
      <c r="G15" s="155">
        <v>0</v>
      </c>
      <c r="H15" s="155">
        <v>0</v>
      </c>
      <c r="I15" s="155">
        <v>0</v>
      </c>
      <c r="J15" s="764">
        <f>ROUND((D16*'11當年退離(公)-性別'!$H$19+'25撫卹平均俸額-性別'!D17*'11當年退離(公)-性別'!$H$20)/'11當年退離(公)-性別'!$H$18,2)-'25撫卹平均俸額-性別'!D15</f>
        <v>2.8571428993018344E-3</v>
      </c>
      <c r="K15" s="764">
        <f>ROUND((E16*'11當年退離(公)-性別'!$H$19+'25撫卹平均俸額-性別'!E17*'11當年退離(公)-性別'!$H$20)/'11當年退離(公)-性別'!$H$18,0)-'25撫卹平均俸額-性別'!E15</f>
        <v>0.14285714285720275</v>
      </c>
    </row>
    <row r="16" spans="1:15" s="150" customFormat="1" ht="40.35" customHeight="1">
      <c r="A16" s="156" t="s">
        <v>399</v>
      </c>
      <c r="B16" s="155">
        <v>0</v>
      </c>
      <c r="C16" s="155">
        <v>0</v>
      </c>
      <c r="D16" s="157">
        <v>32391.125</v>
      </c>
      <c r="E16" s="155">
        <v>52.125</v>
      </c>
      <c r="F16" s="155">
        <v>0</v>
      </c>
      <c r="G16" s="155">
        <v>0</v>
      </c>
      <c r="H16" s="155">
        <v>0</v>
      </c>
      <c r="I16" s="155">
        <v>0</v>
      </c>
      <c r="J16" s="752"/>
      <c r="K16" s="752"/>
      <c r="L16" s="752"/>
      <c r="M16" s="752"/>
      <c r="N16" s="752"/>
      <c r="O16" s="149"/>
    </row>
    <row r="17" spans="1:15" s="150" customFormat="1" ht="40.35" customHeight="1">
      <c r="A17" s="156" t="s">
        <v>401</v>
      </c>
      <c r="B17" s="155">
        <v>0</v>
      </c>
      <c r="C17" s="155">
        <v>0</v>
      </c>
      <c r="D17" s="157">
        <v>24810.666666666701</v>
      </c>
      <c r="E17" s="155">
        <v>49.1666666666667</v>
      </c>
      <c r="F17" s="155">
        <v>0</v>
      </c>
      <c r="G17" s="155">
        <v>0</v>
      </c>
      <c r="H17" s="155">
        <v>0</v>
      </c>
      <c r="I17" s="155">
        <v>0</v>
      </c>
      <c r="J17" s="752"/>
      <c r="K17" s="752"/>
      <c r="L17" s="752"/>
      <c r="M17" s="752"/>
      <c r="N17" s="752"/>
      <c r="O17" s="149"/>
    </row>
    <row r="18" spans="1:15" s="748" customFormat="1" ht="40.35" customHeight="1">
      <c r="A18" s="765" t="s">
        <v>303</v>
      </c>
      <c r="B18" s="155">
        <v>0</v>
      </c>
      <c r="C18" s="155">
        <v>0</v>
      </c>
      <c r="D18" s="157">
        <v>24442.25</v>
      </c>
      <c r="E18" s="155">
        <v>48.4166666666667</v>
      </c>
      <c r="F18" s="155">
        <v>0</v>
      </c>
      <c r="G18" s="155">
        <v>0</v>
      </c>
      <c r="H18" s="155">
        <v>0</v>
      </c>
      <c r="I18" s="155">
        <v>0</v>
      </c>
      <c r="J18" s="764">
        <f>ROUND((D19*'11當年退離(公)-性別'!$H$22+'25撫卹平均俸額-性別'!D20*'11當年退離(公)-性別'!$H$23)/'11當年退離(公)-性別'!$H$21,2)-'25撫卹平均俸額-性別'!D18</f>
        <v>0</v>
      </c>
      <c r="K18" s="764">
        <f>ROUND((E19*'11當年退離(公)-性別'!$H$22+'25撫卹平均俸額-性別'!E20*'11當年退離(公)-性別'!$H$23)/'11當年退離(公)-性別'!$H$21,0)-'25撫卹平均俸額-性別'!E18</f>
        <v>-0.41666666666669983</v>
      </c>
    </row>
    <row r="19" spans="1:15" s="150" customFormat="1" ht="40.35" customHeight="1">
      <c r="A19" s="156" t="s">
        <v>399</v>
      </c>
      <c r="B19" s="155">
        <v>0</v>
      </c>
      <c r="C19" s="155">
        <v>0</v>
      </c>
      <c r="D19" s="157">
        <v>24442.25</v>
      </c>
      <c r="E19" s="155">
        <v>48.4166666666667</v>
      </c>
      <c r="F19" s="155">
        <v>0</v>
      </c>
      <c r="G19" s="155">
        <v>0</v>
      </c>
      <c r="H19" s="155">
        <v>0</v>
      </c>
      <c r="I19" s="155">
        <v>0</v>
      </c>
      <c r="J19" s="752"/>
      <c r="K19" s="752"/>
      <c r="L19" s="752"/>
      <c r="M19" s="752"/>
      <c r="N19" s="752"/>
      <c r="O19" s="149"/>
    </row>
    <row r="20" spans="1:15" s="150" customFormat="1" ht="40.35" customHeight="1">
      <c r="A20" s="158" t="s">
        <v>401</v>
      </c>
      <c r="B20" s="188">
        <v>0</v>
      </c>
      <c r="C20" s="189">
        <v>0</v>
      </c>
      <c r="D20" s="189">
        <v>0</v>
      </c>
      <c r="E20" s="189">
        <v>0</v>
      </c>
      <c r="F20" s="189">
        <v>0</v>
      </c>
      <c r="G20" s="189">
        <v>0</v>
      </c>
      <c r="H20" s="189">
        <v>0</v>
      </c>
      <c r="I20" s="189">
        <v>0</v>
      </c>
      <c r="J20" s="752"/>
      <c r="K20" s="752"/>
      <c r="L20" s="752"/>
      <c r="M20" s="752"/>
      <c r="N20" s="752"/>
      <c r="O20" s="149"/>
    </row>
    <row r="21" spans="1:15">
      <c r="A21" s="40" t="s">
        <v>169</v>
      </c>
    </row>
    <row r="22" spans="1:15">
      <c r="A22" s="724"/>
    </row>
    <row r="23" spans="1:15">
      <c r="A23" s="724"/>
    </row>
    <row r="37" spans="2:3">
      <c r="B37" s="766"/>
      <c r="C37" s="766"/>
    </row>
  </sheetData>
  <mergeCells count="9">
    <mergeCell ref="A1:I1"/>
    <mergeCell ref="A2:I2"/>
    <mergeCell ref="A3:G3"/>
    <mergeCell ref="H3:I3"/>
    <mergeCell ref="H4:I4"/>
    <mergeCell ref="A4:A5"/>
    <mergeCell ref="B4:C4"/>
    <mergeCell ref="D4:E4"/>
    <mergeCell ref="F4:G4"/>
  </mergeCells>
  <phoneticPr fontId="3" type="noConversion"/>
  <pageMargins left="0.35433070866141736" right="0.39370078740157483" top="0.59055118110236227" bottom="0.51181102362204722"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tabColor indexed="13"/>
  </sheetPr>
  <dimension ref="A1:J28"/>
  <sheetViews>
    <sheetView view="pageBreakPreview" zoomScale="75" zoomScaleNormal="100" zoomScaleSheetLayoutView="75"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5.75"/>
  <cols>
    <col min="1" max="3" width="10.125" style="62" customWidth="1"/>
    <col min="4" max="4" width="9.125" style="62" customWidth="1"/>
    <col min="5" max="5" width="10.5" style="62" customWidth="1"/>
    <col min="6" max="6" width="9.125" style="62" customWidth="1"/>
    <col min="7" max="7" width="10" style="62" customWidth="1"/>
    <col min="8" max="8" width="9.125" style="62" customWidth="1"/>
    <col min="9" max="9" width="10.625" style="62" customWidth="1"/>
    <col min="10" max="16384" width="9" style="62"/>
  </cols>
  <sheetData>
    <row r="1" spans="1:10" s="60" customFormat="1" ht="33" customHeight="1">
      <c r="A1" s="778" t="s">
        <v>307</v>
      </c>
      <c r="B1" s="778"/>
      <c r="C1" s="778"/>
      <c r="D1" s="778"/>
      <c r="E1" s="778"/>
      <c r="F1" s="778"/>
      <c r="G1" s="778"/>
      <c r="H1" s="778"/>
      <c r="I1" s="778"/>
    </row>
    <row r="2" spans="1:10" s="2" customFormat="1" ht="33" customHeight="1">
      <c r="A2" s="882" t="s">
        <v>413</v>
      </c>
      <c r="B2" s="882"/>
      <c r="C2" s="882"/>
      <c r="D2" s="882"/>
      <c r="E2" s="882"/>
      <c r="F2" s="882"/>
      <c r="G2" s="882"/>
      <c r="H2" s="883" t="s">
        <v>308</v>
      </c>
      <c r="I2" s="883"/>
    </row>
    <row r="3" spans="1:10" s="1" customFormat="1" ht="35.1" customHeight="1">
      <c r="A3" s="793" t="s">
        <v>309</v>
      </c>
      <c r="B3" s="812" t="s">
        <v>310</v>
      </c>
      <c r="C3" s="824"/>
      <c r="D3" s="812" t="s">
        <v>311</v>
      </c>
      <c r="E3" s="824"/>
      <c r="F3" s="812" t="s">
        <v>312</v>
      </c>
      <c r="G3" s="824"/>
      <c r="H3" s="812" t="s">
        <v>313</v>
      </c>
      <c r="I3" s="824"/>
    </row>
    <row r="4" spans="1:10" s="1" customFormat="1" ht="35.1" customHeight="1">
      <c r="A4" s="793"/>
      <c r="B4" s="98" t="s">
        <v>314</v>
      </c>
      <c r="C4" s="99" t="s">
        <v>315</v>
      </c>
      <c r="D4" s="98" t="s">
        <v>314</v>
      </c>
      <c r="E4" s="99" t="s">
        <v>315</v>
      </c>
      <c r="F4" s="98" t="s">
        <v>314</v>
      </c>
      <c r="G4" s="99" t="s">
        <v>315</v>
      </c>
      <c r="H4" s="98" t="s">
        <v>314</v>
      </c>
      <c r="I4" s="101" t="s">
        <v>315</v>
      </c>
      <c r="J4" s="61" t="s">
        <v>423</v>
      </c>
    </row>
    <row r="5" spans="1:10" s="1" customFormat="1" ht="62.1" hidden="1" customHeight="1">
      <c r="A5" s="58" t="s">
        <v>2</v>
      </c>
      <c r="B5" s="32">
        <v>0</v>
      </c>
      <c r="C5" s="64">
        <v>0</v>
      </c>
      <c r="D5" s="31">
        <v>31061</v>
      </c>
      <c r="E5" s="64">
        <v>42.51</v>
      </c>
      <c r="F5" s="31">
        <v>36022</v>
      </c>
      <c r="G5" s="64">
        <v>40.409999999999997</v>
      </c>
      <c r="H5" s="31">
        <v>21488</v>
      </c>
      <c r="I5" s="64">
        <v>28.4</v>
      </c>
    </row>
    <row r="6" spans="1:10" s="1" customFormat="1" ht="62.1" customHeight="1">
      <c r="A6" s="58" t="s">
        <v>3</v>
      </c>
      <c r="B6" s="32">
        <v>0</v>
      </c>
      <c r="C6" s="64">
        <v>0</v>
      </c>
      <c r="D6" s="31">
        <v>31222.597600000001</v>
      </c>
      <c r="E6" s="64">
        <v>42.575099999999999</v>
      </c>
      <c r="F6" s="31">
        <v>36617.0769</v>
      </c>
      <c r="G6" s="64">
        <v>40.911700000000003</v>
      </c>
      <c r="H6" s="31">
        <v>20900.263299999999</v>
      </c>
      <c r="I6" s="64">
        <v>28.207999999999998</v>
      </c>
      <c r="J6" s="143">
        <f>SUM(B6:I14)-SUM('[2]26參加者平均俸額-OK'!$B$6:$I$14)</f>
        <v>0</v>
      </c>
    </row>
    <row r="7" spans="1:10" s="1" customFormat="1" ht="62.1" customHeight="1">
      <c r="A7" s="58" t="s">
        <v>4</v>
      </c>
      <c r="B7" s="31">
        <v>0</v>
      </c>
      <c r="C7" s="64">
        <v>0</v>
      </c>
      <c r="D7" s="31">
        <v>32279.4146772313</v>
      </c>
      <c r="E7" s="64">
        <v>42.569002538245201</v>
      </c>
      <c r="F7" s="31">
        <v>38318.1685655541</v>
      </c>
      <c r="G7" s="64">
        <v>41.310098371130699</v>
      </c>
      <c r="H7" s="31">
        <v>21937.7458718241</v>
      </c>
      <c r="I7" s="64">
        <v>28.574602281306198</v>
      </c>
    </row>
    <row r="8" spans="1:10" s="1" customFormat="1" ht="62.1" customHeight="1">
      <c r="A8" s="58" t="s">
        <v>5</v>
      </c>
      <c r="B8" s="31">
        <v>0</v>
      </c>
      <c r="C8" s="64">
        <v>0</v>
      </c>
      <c r="D8" s="31">
        <v>32293</v>
      </c>
      <c r="E8" s="64">
        <v>42.5</v>
      </c>
      <c r="F8" s="31">
        <v>38749</v>
      </c>
      <c r="G8" s="64">
        <v>41.63</v>
      </c>
      <c r="H8" s="31">
        <v>22161</v>
      </c>
      <c r="I8" s="64">
        <v>28.88</v>
      </c>
    </row>
    <row r="9" spans="1:10" s="1" customFormat="1" ht="62.1" customHeight="1">
      <c r="A9" s="58" t="s">
        <v>6</v>
      </c>
      <c r="B9" s="32">
        <v>0</v>
      </c>
      <c r="C9" s="64">
        <v>0</v>
      </c>
      <c r="D9" s="31">
        <v>32346.592361564799</v>
      </c>
      <c r="E9" s="64">
        <v>42.498111319830102</v>
      </c>
      <c r="F9" s="31">
        <v>39244.2719335195</v>
      </c>
      <c r="G9" s="64">
        <v>42.029199623499103</v>
      </c>
      <c r="H9" s="31">
        <v>22179.036985422601</v>
      </c>
      <c r="I9" s="64">
        <v>29.010477728375399</v>
      </c>
    </row>
    <row r="10" spans="1:10" s="1" customFormat="1" ht="62.1" customHeight="1">
      <c r="A10" s="58" t="s">
        <v>7</v>
      </c>
      <c r="B10" s="32">
        <v>0</v>
      </c>
      <c r="C10" s="64">
        <v>0</v>
      </c>
      <c r="D10" s="31">
        <v>32571.4643099768</v>
      </c>
      <c r="E10" s="64">
        <v>42.7766800122766</v>
      </c>
      <c r="F10" s="31">
        <v>39736.518725369897</v>
      </c>
      <c r="G10" s="64">
        <v>42.437967481796598</v>
      </c>
      <c r="H10" s="31">
        <v>21510.350906555101</v>
      </c>
      <c r="I10" s="64">
        <v>28.737880055788001</v>
      </c>
    </row>
    <row r="11" spans="1:10" s="1" customFormat="1" ht="62.1" customHeight="1">
      <c r="A11" s="58" t="s">
        <v>316</v>
      </c>
      <c r="B11" s="32">
        <v>0</v>
      </c>
      <c r="C11" s="64">
        <v>0</v>
      </c>
      <c r="D11" s="31">
        <v>32611.607766922902</v>
      </c>
      <c r="E11" s="64">
        <v>42.722448767113796</v>
      </c>
      <c r="F11" s="31">
        <v>40222.372829785301</v>
      </c>
      <c r="G11" s="64">
        <v>42.807137300969899</v>
      </c>
      <c r="H11" s="31">
        <v>20629.185359516399</v>
      </c>
      <c r="I11" s="64">
        <v>28.354130488712499</v>
      </c>
    </row>
    <row r="12" spans="1:10" s="1" customFormat="1" ht="62.1" customHeight="1">
      <c r="A12" s="58" t="s">
        <v>99</v>
      </c>
      <c r="B12" s="32">
        <v>0</v>
      </c>
      <c r="C12" s="64">
        <v>0</v>
      </c>
      <c r="D12" s="31">
        <v>32614.0124549623</v>
      </c>
      <c r="E12" s="64">
        <v>41.694576800990298</v>
      </c>
      <c r="F12" s="31">
        <v>40693.256342651097</v>
      </c>
      <c r="G12" s="64">
        <v>42.181457666334801</v>
      </c>
      <c r="H12" s="31">
        <v>20123.6225210021</v>
      </c>
      <c r="I12" s="64">
        <v>27.225711937461199</v>
      </c>
    </row>
    <row r="13" spans="1:10" s="1" customFormat="1" ht="62.1" customHeight="1">
      <c r="A13" s="58" t="s">
        <v>317</v>
      </c>
      <c r="B13" s="32">
        <v>0</v>
      </c>
      <c r="C13" s="64">
        <v>0</v>
      </c>
      <c r="D13" s="31">
        <v>32598.5666964292</v>
      </c>
      <c r="E13" s="64">
        <v>42.770994499614901</v>
      </c>
      <c r="F13" s="31">
        <v>41195.784619580001</v>
      </c>
      <c r="G13" s="64">
        <v>43.638854649577297</v>
      </c>
      <c r="H13" s="31">
        <v>20108.498925340398</v>
      </c>
      <c r="I13" s="64">
        <v>28.432333396971199</v>
      </c>
    </row>
    <row r="14" spans="1:10" s="1" customFormat="1" ht="62.1" customHeight="1">
      <c r="A14" s="58" t="s">
        <v>200</v>
      </c>
      <c r="B14" s="32">
        <v>0</v>
      </c>
      <c r="C14" s="64">
        <v>0</v>
      </c>
      <c r="D14" s="31">
        <v>33619.641340215203</v>
      </c>
      <c r="E14" s="64">
        <v>42.867628379604398</v>
      </c>
      <c r="F14" s="31">
        <v>43005.8546046868</v>
      </c>
      <c r="G14" s="64">
        <v>44.146046868155899</v>
      </c>
      <c r="H14" s="31">
        <v>20656.438693435</v>
      </c>
      <c r="I14" s="64">
        <v>28.584134067769899</v>
      </c>
    </row>
    <row r="15" spans="1:10" s="1" customFormat="1" ht="62.1" customHeight="1">
      <c r="A15" s="97" t="s">
        <v>396</v>
      </c>
      <c r="B15" s="33">
        <v>0</v>
      </c>
      <c r="C15" s="45">
        <v>0</v>
      </c>
      <c r="D15" s="34">
        <v>33697.5446579036</v>
      </c>
      <c r="E15" s="45">
        <v>42.888988018530597</v>
      </c>
      <c r="F15" s="34">
        <v>43436.2241646006</v>
      </c>
      <c r="G15" s="45">
        <v>44.6237137152511</v>
      </c>
      <c r="H15" s="34">
        <v>20675.058241819799</v>
      </c>
      <c r="I15" s="45">
        <v>28.7384188704617</v>
      </c>
    </row>
    <row r="16" spans="1:10" ht="18.75" customHeight="1">
      <c r="A16" s="12" t="s">
        <v>318</v>
      </c>
      <c r="B16" s="61"/>
      <c r="C16" s="61"/>
      <c r="D16" s="61"/>
      <c r="E16" s="61"/>
      <c r="F16" s="61"/>
      <c r="G16" s="61"/>
      <c r="H16" s="61"/>
      <c r="I16" s="61"/>
    </row>
    <row r="17" spans="1:9">
      <c r="A17" s="61" t="s">
        <v>359</v>
      </c>
      <c r="B17" s="120">
        <f>SUM(B5:I13)-SUM('[1]26參加者平均俸額 '!$B$6:$I$14)</f>
        <v>0</v>
      </c>
      <c r="C17" s="61"/>
      <c r="D17" s="61"/>
      <c r="E17" s="61"/>
      <c r="F17" s="61"/>
      <c r="G17" s="61"/>
      <c r="H17" s="61"/>
      <c r="I17" s="61"/>
    </row>
    <row r="18" spans="1:9">
      <c r="A18" s="61"/>
      <c r="B18" s="61"/>
      <c r="C18" s="61"/>
      <c r="D18" s="61"/>
      <c r="E18" s="61"/>
      <c r="F18" s="61"/>
      <c r="G18" s="61"/>
      <c r="H18" s="61"/>
      <c r="I18" s="61"/>
    </row>
    <row r="19" spans="1:9">
      <c r="A19" s="61"/>
      <c r="B19" s="61"/>
      <c r="C19" s="61"/>
      <c r="D19" s="61"/>
      <c r="E19" s="61"/>
      <c r="F19" s="61"/>
      <c r="G19" s="61"/>
      <c r="H19" s="61"/>
      <c r="I19" s="61"/>
    </row>
    <row r="28" spans="1:9">
      <c r="B28" s="142"/>
      <c r="C28" s="142"/>
    </row>
  </sheetData>
  <mergeCells count="8">
    <mergeCell ref="A1:I1"/>
    <mergeCell ref="A2:G2"/>
    <mergeCell ref="H2:I2"/>
    <mergeCell ref="A3:A4"/>
    <mergeCell ref="B3:C3"/>
    <mergeCell ref="D3:E3"/>
    <mergeCell ref="F3:G3"/>
    <mergeCell ref="H3:I3"/>
  </mergeCells>
  <phoneticPr fontId="3" type="noConversion"/>
  <pageMargins left="0.62992125984251968" right="0" top="0.59055118110236227" bottom="0.4" header="0" footer="0"/>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indexed="13"/>
  </sheetPr>
  <dimension ref="A1:J28"/>
  <sheetViews>
    <sheetView view="pageBreakPreview" zoomScale="90" zoomScaleNormal="90" zoomScaleSheetLayoutView="90" workbookViewId="0">
      <pane xSplit="1" ySplit="5" topLeftCell="B6"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5.75"/>
  <cols>
    <col min="1" max="1" width="8.5" style="62" customWidth="1"/>
    <col min="2" max="9" width="10.125" style="62" customWidth="1"/>
    <col min="10" max="16384" width="9" style="62"/>
  </cols>
  <sheetData>
    <row r="1" spans="1:10" s="60" customFormat="1" ht="33" customHeight="1">
      <c r="A1" s="813" t="s">
        <v>212</v>
      </c>
      <c r="B1" s="813"/>
      <c r="C1" s="813"/>
      <c r="D1" s="813"/>
      <c r="E1" s="813"/>
      <c r="F1" s="813"/>
      <c r="G1" s="813"/>
      <c r="H1" s="813"/>
      <c r="I1" s="813"/>
    </row>
    <row r="2" spans="1:10" s="60" customFormat="1" ht="25.35" customHeight="1">
      <c r="A2" s="884" t="s">
        <v>213</v>
      </c>
      <c r="B2" s="884"/>
      <c r="C2" s="884"/>
      <c r="D2" s="884"/>
      <c r="E2" s="884"/>
      <c r="F2" s="884"/>
      <c r="G2" s="884"/>
      <c r="H2" s="884"/>
      <c r="I2" s="884"/>
    </row>
    <row r="3" spans="1:10" s="2" customFormat="1" ht="33" customHeight="1">
      <c r="A3" s="882" t="s">
        <v>414</v>
      </c>
      <c r="B3" s="882"/>
      <c r="C3" s="882"/>
      <c r="D3" s="882"/>
      <c r="E3" s="882"/>
      <c r="F3" s="882"/>
      <c r="G3" s="882"/>
      <c r="H3" s="883" t="s">
        <v>293</v>
      </c>
      <c r="I3" s="883"/>
    </row>
    <row r="4" spans="1:10" s="1" customFormat="1" ht="35.1" customHeight="1">
      <c r="A4" s="793" t="s">
        <v>294</v>
      </c>
      <c r="B4" s="812" t="s">
        <v>295</v>
      </c>
      <c r="C4" s="824"/>
      <c r="D4" s="812" t="s">
        <v>296</v>
      </c>
      <c r="E4" s="824"/>
      <c r="F4" s="812" t="s">
        <v>297</v>
      </c>
      <c r="G4" s="824"/>
      <c r="H4" s="812" t="s">
        <v>298</v>
      </c>
      <c r="I4" s="824"/>
    </row>
    <row r="5" spans="1:10" s="1" customFormat="1" ht="35.1" customHeight="1">
      <c r="A5" s="793"/>
      <c r="B5" s="98" t="s">
        <v>299</v>
      </c>
      <c r="C5" s="99" t="s">
        <v>300</v>
      </c>
      <c r="D5" s="98" t="s">
        <v>299</v>
      </c>
      <c r="E5" s="99" t="s">
        <v>300</v>
      </c>
      <c r="F5" s="98" t="s">
        <v>299</v>
      </c>
      <c r="G5" s="99" t="s">
        <v>300</v>
      </c>
      <c r="H5" s="98" t="s">
        <v>299</v>
      </c>
      <c r="I5" s="101" t="s">
        <v>300</v>
      </c>
      <c r="J5" s="61" t="s">
        <v>423</v>
      </c>
    </row>
    <row r="6" spans="1:10" s="1" customFormat="1" ht="60" hidden="1" customHeight="1">
      <c r="A6" s="58" t="s">
        <v>2</v>
      </c>
      <c r="B6" s="31">
        <v>78813</v>
      </c>
      <c r="C6" s="64">
        <v>59.67</v>
      </c>
      <c r="D6" s="31">
        <v>37502</v>
      </c>
      <c r="E6" s="64">
        <v>55.25</v>
      </c>
      <c r="F6" s="31">
        <v>45453</v>
      </c>
      <c r="G6" s="64">
        <v>54.17</v>
      </c>
      <c r="H6" s="31">
        <v>30272</v>
      </c>
      <c r="I6" s="64">
        <v>35.99</v>
      </c>
    </row>
    <row r="7" spans="1:10" s="1" customFormat="1" ht="60" customHeight="1">
      <c r="A7" s="58" t="s">
        <v>3</v>
      </c>
      <c r="B7" s="32">
        <v>71980</v>
      </c>
      <c r="C7" s="64">
        <v>55</v>
      </c>
      <c r="D7" s="31">
        <v>37827.567999999999</v>
      </c>
      <c r="E7" s="64">
        <v>55.1629</v>
      </c>
      <c r="F7" s="31">
        <v>45471.904799999997</v>
      </c>
      <c r="G7" s="64">
        <v>53.963799999999999</v>
      </c>
      <c r="H7" s="31">
        <v>27389.948700000001</v>
      </c>
      <c r="I7" s="64">
        <v>34.3249</v>
      </c>
      <c r="J7" s="143">
        <f>SUM(B7:I15)-SUM('[2]27平均俸額(總表)-OK'!$B$7:$I$15)</f>
        <v>0</v>
      </c>
    </row>
    <row r="8" spans="1:10" s="1" customFormat="1" ht="60" customHeight="1">
      <c r="A8" s="58" t="s">
        <v>4</v>
      </c>
      <c r="B8" s="31">
        <v>95250</v>
      </c>
      <c r="C8" s="64">
        <v>63</v>
      </c>
      <c r="D8" s="31">
        <v>38460.474900000001</v>
      </c>
      <c r="E8" s="64">
        <v>55.196199999999997</v>
      </c>
      <c r="F8" s="31">
        <v>46620.086300000003</v>
      </c>
      <c r="G8" s="64">
        <v>53.987099999999998</v>
      </c>
      <c r="H8" s="31">
        <v>21755.929499999998</v>
      </c>
      <c r="I8" s="64">
        <v>29.910399999999999</v>
      </c>
    </row>
    <row r="9" spans="1:10" s="1" customFormat="1" ht="60" customHeight="1">
      <c r="A9" s="58" t="s">
        <v>5</v>
      </c>
      <c r="B9" s="31">
        <v>95250</v>
      </c>
      <c r="C9" s="64">
        <v>67.5</v>
      </c>
      <c r="D9" s="31">
        <v>38955</v>
      </c>
      <c r="E9" s="64">
        <v>55.29</v>
      </c>
      <c r="F9" s="31">
        <v>47068</v>
      </c>
      <c r="G9" s="64">
        <v>54.03</v>
      </c>
      <c r="H9" s="31">
        <v>21398.504026086401</v>
      </c>
      <c r="I9" s="64">
        <v>29.657416650029901</v>
      </c>
    </row>
    <row r="10" spans="1:10" s="1" customFormat="1" ht="60" customHeight="1">
      <c r="A10" s="58" t="s">
        <v>6</v>
      </c>
      <c r="B10" s="32">
        <v>0</v>
      </c>
      <c r="C10" s="64">
        <v>0</v>
      </c>
      <c r="D10" s="31">
        <v>38633.926752241197</v>
      </c>
      <c r="E10" s="64">
        <v>55.4429502852486</v>
      </c>
      <c r="F10" s="31">
        <v>47153.2083253405</v>
      </c>
      <c r="G10" s="64">
        <v>54.011893343564203</v>
      </c>
      <c r="H10" s="31">
        <v>21679.472127883801</v>
      </c>
      <c r="I10" s="64">
        <v>30.017566459772802</v>
      </c>
    </row>
    <row r="11" spans="1:10" s="1" customFormat="1" ht="60" customHeight="1">
      <c r="A11" s="58" t="s">
        <v>7</v>
      </c>
      <c r="B11" s="32">
        <v>95250</v>
      </c>
      <c r="C11" s="64">
        <v>69</v>
      </c>
      <c r="D11" s="31">
        <v>38805.8466783759</v>
      </c>
      <c r="E11" s="64">
        <v>55.612563281330701</v>
      </c>
      <c r="F11" s="31">
        <v>47260.851615476698</v>
      </c>
      <c r="G11" s="64">
        <v>54.045073793378499</v>
      </c>
      <c r="H11" s="31">
        <v>21947.078080520499</v>
      </c>
      <c r="I11" s="64">
        <v>30.210166734444901</v>
      </c>
    </row>
    <row r="12" spans="1:10" s="1" customFormat="1" ht="60" customHeight="1">
      <c r="A12" s="58" t="s">
        <v>319</v>
      </c>
      <c r="B12" s="63">
        <v>0</v>
      </c>
      <c r="C12" s="64">
        <v>0</v>
      </c>
      <c r="D12" s="31">
        <v>38736.519105312203</v>
      </c>
      <c r="E12" s="64">
        <v>55.724476827925102</v>
      </c>
      <c r="F12" s="31">
        <v>47427.632239836799</v>
      </c>
      <c r="G12" s="64">
        <v>54.014597394443598</v>
      </c>
      <c r="H12" s="31">
        <v>25282.658477842</v>
      </c>
      <c r="I12" s="64">
        <v>32.719556840077097</v>
      </c>
    </row>
    <row r="13" spans="1:10" s="1" customFormat="1" ht="60" customHeight="1">
      <c r="A13" s="58" t="s">
        <v>99</v>
      </c>
      <c r="B13" s="63">
        <v>0</v>
      </c>
      <c r="C13" s="64">
        <v>0</v>
      </c>
      <c r="D13" s="31">
        <v>38694.706281302198</v>
      </c>
      <c r="E13" s="64">
        <v>56.612166110183601</v>
      </c>
      <c r="F13" s="31">
        <v>47504.806777645703</v>
      </c>
      <c r="G13" s="64">
        <v>53.991973840665899</v>
      </c>
      <c r="H13" s="31">
        <v>24813.8177765648</v>
      </c>
      <c r="I13" s="64">
        <v>32.426491994177603</v>
      </c>
    </row>
    <row r="14" spans="1:10" s="29" customFormat="1" ht="60" customHeight="1">
      <c r="A14" s="58" t="s">
        <v>320</v>
      </c>
      <c r="B14" s="63">
        <v>0</v>
      </c>
      <c r="C14" s="64">
        <v>0</v>
      </c>
      <c r="D14" s="31">
        <v>38680.7838033261</v>
      </c>
      <c r="E14" s="64">
        <v>56.990600144613097</v>
      </c>
      <c r="F14" s="31">
        <v>47648.106208859601</v>
      </c>
      <c r="G14" s="64">
        <v>54.319338196050502</v>
      </c>
      <c r="H14" s="31">
        <v>22106.345777860501</v>
      </c>
      <c r="I14" s="64">
        <v>30.531421655339301</v>
      </c>
    </row>
    <row r="15" spans="1:10" s="1" customFormat="1" ht="60" customHeight="1">
      <c r="A15" s="58" t="s">
        <v>200</v>
      </c>
      <c r="B15" s="32">
        <v>98160</v>
      </c>
      <c r="C15" s="64">
        <v>79</v>
      </c>
      <c r="D15" s="31">
        <v>40438.3794927649</v>
      </c>
      <c r="E15" s="64">
        <v>57.1128053524195</v>
      </c>
      <c r="F15" s="31">
        <v>49231.437271620001</v>
      </c>
      <c r="G15" s="64">
        <v>54.531546894031699</v>
      </c>
      <c r="H15" s="31">
        <v>18666.389270976601</v>
      </c>
      <c r="I15" s="64">
        <v>28.204755354686601</v>
      </c>
    </row>
    <row r="16" spans="1:10" s="1" customFormat="1" ht="60" customHeight="1">
      <c r="A16" s="97" t="s">
        <v>396</v>
      </c>
      <c r="B16" s="45">
        <v>0</v>
      </c>
      <c r="C16" s="45">
        <v>0</v>
      </c>
      <c r="D16" s="34">
        <v>39868.434687157001</v>
      </c>
      <c r="E16" s="45">
        <v>57.506860592755203</v>
      </c>
      <c r="F16" s="34">
        <v>48801.372034326101</v>
      </c>
      <c r="G16" s="45">
        <v>55.195860676426001</v>
      </c>
      <c r="H16" s="34">
        <v>19351.940581982901</v>
      </c>
      <c r="I16" s="45">
        <v>29.085554974734301</v>
      </c>
    </row>
    <row r="17" spans="1:9">
      <c r="A17" s="12" t="s">
        <v>321</v>
      </c>
      <c r="B17" s="61"/>
      <c r="C17" s="61"/>
      <c r="D17" s="61"/>
      <c r="E17" s="61"/>
      <c r="F17" s="61"/>
      <c r="G17" s="61"/>
      <c r="H17" s="61"/>
      <c r="I17" s="61"/>
    </row>
    <row r="18" spans="1:9">
      <c r="A18" s="61"/>
      <c r="B18" s="120">
        <f>B16-'24退休平均俸額-性別'!B6</f>
        <v>0</v>
      </c>
      <c r="C18" s="120">
        <f>C16-'24退休平均俸額-性別'!C6</f>
        <v>0</v>
      </c>
      <c r="D18" s="120"/>
      <c r="E18" s="120"/>
      <c r="F18" s="120"/>
      <c r="G18" s="120"/>
      <c r="H18" s="120">
        <f>H16-'24退休平均俸額-性別'!H6</f>
        <v>0</v>
      </c>
      <c r="I18" s="120">
        <f>I16-'24退休平均俸額-性別'!I6</f>
        <v>0</v>
      </c>
    </row>
    <row r="19" spans="1:9">
      <c r="A19" s="61" t="s">
        <v>359</v>
      </c>
      <c r="B19" s="120">
        <f>SUM(B6:I14)-SUM('[1]27平均俸額(總表) '!$B$7:$I$15)</f>
        <v>0</v>
      </c>
      <c r="C19" s="61"/>
      <c r="D19" s="61"/>
      <c r="E19" s="61"/>
      <c r="F19" s="61"/>
      <c r="G19" s="61"/>
      <c r="H19" s="61"/>
      <c r="I19" s="61"/>
    </row>
    <row r="20" spans="1:9">
      <c r="A20" s="61"/>
      <c r="B20" s="61"/>
      <c r="C20" s="61"/>
      <c r="D20" s="61"/>
      <c r="E20" s="61"/>
      <c r="F20" s="61"/>
      <c r="G20" s="61"/>
      <c r="H20" s="61"/>
      <c r="I20" s="61"/>
    </row>
    <row r="28" spans="1:9">
      <c r="B28" s="142"/>
      <c r="C28" s="142"/>
    </row>
  </sheetData>
  <mergeCells count="9">
    <mergeCell ref="A1:I1"/>
    <mergeCell ref="A2:I2"/>
    <mergeCell ref="A3:G3"/>
    <mergeCell ref="H3:I3"/>
    <mergeCell ref="H4:I4"/>
    <mergeCell ref="A4:A5"/>
    <mergeCell ref="B4:C4"/>
    <mergeCell ref="D4:E4"/>
    <mergeCell ref="F4:G4"/>
  </mergeCells>
  <phoneticPr fontId="3" type="noConversion"/>
  <pageMargins left="0.43307086614173229" right="0.47244094488188981" top="0.59055118110236227" bottom="0.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46"/>
    <pageSetUpPr fitToPage="1"/>
  </sheetPr>
  <dimension ref="A1:Z25"/>
  <sheetViews>
    <sheetView view="pageBreakPreview" topLeftCell="I1" zoomScaleNormal="100" zoomScaleSheetLayoutView="100" workbookViewId="0">
      <pane ySplit="5" topLeftCell="A6" activePane="bottomLeft" state="frozen"/>
      <selection activeCell="G26" sqref="G26"/>
      <selection pane="bottomLeft" activeCell="A24" sqref="A24"/>
    </sheetView>
  </sheetViews>
  <sheetFormatPr defaultColWidth="8.25" defaultRowHeight="74.25" customHeight="1"/>
  <cols>
    <col min="1" max="1" width="9" style="14" customWidth="1"/>
    <col min="2" max="2" width="11.25" style="1" bestFit="1" customWidth="1"/>
    <col min="3" max="3" width="5.875" style="1" bestFit="1" customWidth="1"/>
    <col min="4" max="7" width="9.375" style="1" bestFit="1" customWidth="1"/>
    <col min="8" max="8" width="5.875" style="1" bestFit="1" customWidth="1"/>
    <col min="9" max="9" width="9.375" style="1" bestFit="1" customWidth="1"/>
    <col min="10" max="10" width="8.25" style="1" customWidth="1"/>
    <col min="11" max="11" width="9.5" style="1" bestFit="1" customWidth="1"/>
    <col min="12" max="12" width="9.375" style="1" bestFit="1" customWidth="1"/>
    <col min="13" max="13" width="3.25" style="1" customWidth="1"/>
    <col min="14" max="14" width="9.375" style="1" bestFit="1" customWidth="1"/>
    <col min="15" max="15" width="12" style="1" customWidth="1"/>
    <col min="16" max="16" width="8.75" style="1" bestFit="1" customWidth="1"/>
    <col min="17" max="17" width="5.5" style="1" bestFit="1" customWidth="1"/>
    <col min="18" max="18" width="6.625" style="1" customWidth="1"/>
    <col min="19" max="19" width="11.5" style="1" customWidth="1"/>
    <col min="20" max="21" width="8.5" style="1" bestFit="1" customWidth="1"/>
    <col min="22" max="22" width="7.5" style="1" customWidth="1"/>
    <col min="23" max="23" width="8.5" style="1" bestFit="1" customWidth="1"/>
    <col min="24" max="24" width="7.5" style="1" bestFit="1" customWidth="1"/>
    <col min="25" max="25" width="9.625" style="1" bestFit="1" customWidth="1"/>
    <col min="26" max="16384" width="8.25" style="1"/>
  </cols>
  <sheetData>
    <row r="1" spans="1:26" s="2" customFormat="1" ht="33" customHeight="1">
      <c r="A1" s="787" t="s">
        <v>187</v>
      </c>
      <c r="B1" s="787"/>
      <c r="C1" s="787"/>
      <c r="D1" s="787"/>
      <c r="E1" s="787"/>
      <c r="F1" s="787"/>
      <c r="G1" s="787"/>
      <c r="H1" s="787"/>
      <c r="I1" s="787"/>
      <c r="J1" s="787"/>
      <c r="K1" s="787"/>
      <c r="L1" s="787"/>
      <c r="M1" s="108" t="s">
        <v>368</v>
      </c>
      <c r="N1" s="108"/>
      <c r="O1" s="108"/>
      <c r="P1" s="108"/>
      <c r="Q1" s="108"/>
      <c r="R1" s="108"/>
      <c r="S1" s="108"/>
      <c r="T1" s="108"/>
      <c r="U1" s="108"/>
      <c r="V1" s="108"/>
      <c r="W1" s="108"/>
      <c r="X1" s="108"/>
      <c r="Y1" s="108"/>
    </row>
    <row r="2" spans="1:26" s="2" customFormat="1" ht="33" customHeight="1">
      <c r="A2" s="788" t="s">
        <v>369</v>
      </c>
      <c r="B2" s="788"/>
      <c r="C2" s="788"/>
      <c r="D2" s="788"/>
      <c r="E2" s="788"/>
      <c r="F2" s="788"/>
      <c r="G2" s="788"/>
      <c r="H2" s="788"/>
      <c r="I2" s="788"/>
      <c r="J2" s="788"/>
      <c r="K2" s="788"/>
      <c r="L2" s="788"/>
      <c r="M2" s="102" t="s">
        <v>370</v>
      </c>
      <c r="N2" s="102"/>
      <c r="O2" s="102"/>
      <c r="P2" s="102"/>
      <c r="Q2" s="102"/>
      <c r="R2" s="102"/>
      <c r="S2" s="102"/>
      <c r="T2" s="102"/>
      <c r="U2" s="102"/>
      <c r="V2" s="102"/>
      <c r="W2" s="102"/>
      <c r="X2" s="102"/>
      <c r="Y2" s="115" t="s">
        <v>371</v>
      </c>
    </row>
    <row r="3" spans="1:26" ht="35.450000000000003" customHeight="1">
      <c r="A3" s="789" t="s">
        <v>277</v>
      </c>
      <c r="B3" s="781" t="s">
        <v>278</v>
      </c>
      <c r="C3" s="781"/>
      <c r="D3" s="781"/>
      <c r="E3" s="781"/>
      <c r="F3" s="782"/>
      <c r="G3" s="780" t="s">
        <v>372</v>
      </c>
      <c r="H3" s="781"/>
      <c r="I3" s="781"/>
      <c r="J3" s="781"/>
      <c r="K3" s="781"/>
      <c r="L3" s="780" t="s">
        <v>373</v>
      </c>
      <c r="M3" s="781"/>
      <c r="N3" s="781"/>
      <c r="O3" s="782"/>
      <c r="P3" s="780" t="s">
        <v>374</v>
      </c>
      <c r="Q3" s="781"/>
      <c r="R3" s="781"/>
      <c r="S3" s="782"/>
      <c r="T3" s="783" t="s">
        <v>375</v>
      </c>
      <c r="U3" s="784"/>
      <c r="V3" s="785"/>
      <c r="W3" s="780" t="s">
        <v>376</v>
      </c>
      <c r="X3" s="781"/>
      <c r="Y3" s="781"/>
    </row>
    <row r="4" spans="1:26" ht="16.5">
      <c r="A4" s="790"/>
      <c r="B4" s="96" t="s">
        <v>377</v>
      </c>
      <c r="C4" s="783" t="s">
        <v>378</v>
      </c>
      <c r="D4" s="785"/>
      <c r="E4" s="783" t="s">
        <v>379</v>
      </c>
      <c r="F4" s="785" t="s">
        <v>380</v>
      </c>
      <c r="G4" s="112" t="s">
        <v>377</v>
      </c>
      <c r="H4" s="783" t="s">
        <v>378</v>
      </c>
      <c r="I4" s="785"/>
      <c r="J4" s="783" t="s">
        <v>379</v>
      </c>
      <c r="K4" s="785" t="s">
        <v>380</v>
      </c>
      <c r="L4" s="146" t="s">
        <v>377</v>
      </c>
      <c r="M4" s="783" t="s">
        <v>378</v>
      </c>
      <c r="N4" s="784"/>
      <c r="O4" s="147" t="s">
        <v>379</v>
      </c>
      <c r="P4" s="96" t="s">
        <v>377</v>
      </c>
      <c r="Q4" s="783" t="s">
        <v>378</v>
      </c>
      <c r="R4" s="784"/>
      <c r="S4" s="147" t="s">
        <v>379</v>
      </c>
      <c r="T4" s="96" t="s">
        <v>377</v>
      </c>
      <c r="U4" s="111" t="s">
        <v>378</v>
      </c>
      <c r="V4" s="111" t="s">
        <v>379</v>
      </c>
      <c r="W4" s="96" t="s">
        <v>377</v>
      </c>
      <c r="X4" s="111" t="s">
        <v>378</v>
      </c>
      <c r="Y4" s="111" t="s">
        <v>379</v>
      </c>
    </row>
    <row r="5" spans="1:26" s="8" customFormat="1" ht="16.5" hidden="1">
      <c r="A5" s="58" t="s">
        <v>381</v>
      </c>
      <c r="B5" s="79">
        <f t="shared" ref="B5:B10" si="0">G5+L5+P5+U5+W5</f>
        <v>617113</v>
      </c>
      <c r="C5" s="79">
        <f t="shared" ref="C5:C15" si="1">H5+M5+Q5+X5</f>
        <v>313</v>
      </c>
      <c r="D5" s="79">
        <f t="shared" ref="D5:D14" si="2">I5+N5+R5+U5+Y5</f>
        <v>287965</v>
      </c>
      <c r="E5" s="79">
        <f>J5+O5+S5</f>
        <v>204744</v>
      </c>
      <c r="F5" s="79">
        <f t="shared" ref="F5:F15" si="3">K5</f>
        <v>124091</v>
      </c>
      <c r="G5" s="79">
        <f t="shared" ref="G5:G21" si="4">SUM(H5:K5)</f>
        <v>275740</v>
      </c>
      <c r="H5" s="79">
        <v>223</v>
      </c>
      <c r="I5" s="79">
        <v>111105</v>
      </c>
      <c r="J5" s="79">
        <v>40321</v>
      </c>
      <c r="K5" s="79">
        <v>124091</v>
      </c>
      <c r="L5" s="79">
        <f t="shared" ref="L5:L21" si="5">SUM(M5:O5)</f>
        <v>76187</v>
      </c>
      <c r="M5" s="79">
        <v>61</v>
      </c>
      <c r="N5" s="79">
        <v>40296</v>
      </c>
      <c r="O5" s="79">
        <v>35830</v>
      </c>
      <c r="P5" s="79">
        <f t="shared" ref="P5:P21" si="6">SUM(Q5:S5)</f>
        <v>216485</v>
      </c>
      <c r="Q5" s="79">
        <v>27</v>
      </c>
      <c r="R5" s="79">
        <v>87865</v>
      </c>
      <c r="S5" s="79">
        <v>128593</v>
      </c>
      <c r="T5" s="79"/>
      <c r="U5" s="79">
        <v>19840</v>
      </c>
      <c r="V5" s="79"/>
      <c r="W5" s="79">
        <f t="shared" ref="W5:W21" si="7">SUM(X5:Y5)</f>
        <v>28861</v>
      </c>
      <c r="X5" s="79">
        <v>2</v>
      </c>
      <c r="Y5" s="79">
        <v>28859</v>
      </c>
    </row>
    <row r="6" spans="1:26" s="8" customFormat="1" ht="61.15" hidden="1" customHeight="1">
      <c r="A6" s="58" t="s">
        <v>60</v>
      </c>
      <c r="B6" s="79">
        <f t="shared" si="0"/>
        <v>605739</v>
      </c>
      <c r="C6" s="79">
        <f t="shared" si="1"/>
        <v>0</v>
      </c>
      <c r="D6" s="79">
        <f t="shared" si="2"/>
        <v>286123</v>
      </c>
      <c r="E6" s="79">
        <f>J6+O6+S6</f>
        <v>202603</v>
      </c>
      <c r="F6" s="79">
        <f t="shared" si="3"/>
        <v>117013</v>
      </c>
      <c r="G6" s="79">
        <f t="shared" si="4"/>
        <v>269043</v>
      </c>
      <c r="H6" s="79">
        <v>0</v>
      </c>
      <c r="I6" s="79">
        <v>111731</v>
      </c>
      <c r="J6" s="79">
        <v>40299</v>
      </c>
      <c r="K6" s="79">
        <v>117013</v>
      </c>
      <c r="L6" s="79">
        <f t="shared" si="5"/>
        <v>74854</v>
      </c>
      <c r="M6" s="79">
        <v>0</v>
      </c>
      <c r="N6" s="79">
        <v>39374</v>
      </c>
      <c r="O6" s="79">
        <v>35480</v>
      </c>
      <c r="P6" s="79">
        <f t="shared" si="6"/>
        <v>214745</v>
      </c>
      <c r="Q6" s="79">
        <v>0</v>
      </c>
      <c r="R6" s="79">
        <v>87921</v>
      </c>
      <c r="S6" s="79">
        <v>126824</v>
      </c>
      <c r="T6" s="79"/>
      <c r="U6" s="79">
        <v>19788</v>
      </c>
      <c r="V6" s="79"/>
      <c r="W6" s="79">
        <f t="shared" si="7"/>
        <v>27309</v>
      </c>
      <c r="X6" s="79">
        <v>0</v>
      </c>
      <c r="Y6" s="79">
        <v>27309</v>
      </c>
    </row>
    <row r="7" spans="1:26" s="8" customFormat="1" ht="61.15" hidden="1" customHeight="1">
      <c r="A7" s="58" t="s">
        <v>54</v>
      </c>
      <c r="B7" s="79">
        <f t="shared" si="0"/>
        <v>596650</v>
      </c>
      <c r="C7" s="79">
        <f t="shared" si="1"/>
        <v>0</v>
      </c>
      <c r="D7" s="79">
        <f t="shared" si="2"/>
        <v>283387</v>
      </c>
      <c r="E7" s="79">
        <f t="shared" ref="E7:E20" si="8">J7+O7+S7+V7</f>
        <v>201536</v>
      </c>
      <c r="F7" s="79">
        <f t="shared" si="3"/>
        <v>111727</v>
      </c>
      <c r="G7" s="79">
        <f t="shared" si="4"/>
        <v>263239</v>
      </c>
      <c r="H7" s="79">
        <v>0</v>
      </c>
      <c r="I7" s="79">
        <v>111111</v>
      </c>
      <c r="J7" s="79">
        <v>40401</v>
      </c>
      <c r="K7" s="79">
        <v>111727</v>
      </c>
      <c r="L7" s="79">
        <f t="shared" si="5"/>
        <v>73719</v>
      </c>
      <c r="M7" s="79">
        <v>0</v>
      </c>
      <c r="N7" s="79">
        <v>38607</v>
      </c>
      <c r="O7" s="79">
        <v>35112</v>
      </c>
      <c r="P7" s="79">
        <f t="shared" si="6"/>
        <v>214294</v>
      </c>
      <c r="Q7" s="79">
        <v>0</v>
      </c>
      <c r="R7" s="79">
        <v>88271</v>
      </c>
      <c r="S7" s="79">
        <v>126023</v>
      </c>
      <c r="T7" s="79">
        <f>SUM(U7:V7)</f>
        <v>19503</v>
      </c>
      <c r="U7" s="79">
        <v>19503</v>
      </c>
      <c r="V7" s="79">
        <v>0</v>
      </c>
      <c r="W7" s="79">
        <f t="shared" si="7"/>
        <v>25895</v>
      </c>
      <c r="X7" s="79">
        <v>0</v>
      </c>
      <c r="Y7" s="79">
        <v>25895</v>
      </c>
    </row>
    <row r="8" spans="1:26" s="8" customFormat="1" ht="61.15" hidden="1" customHeight="1">
      <c r="A8" s="58" t="s">
        <v>8</v>
      </c>
      <c r="B8" s="80">
        <f t="shared" si="0"/>
        <v>590888</v>
      </c>
      <c r="C8" s="79">
        <f t="shared" si="1"/>
        <v>0</v>
      </c>
      <c r="D8" s="79">
        <f t="shared" si="2"/>
        <v>282097</v>
      </c>
      <c r="E8" s="79">
        <f t="shared" si="8"/>
        <v>201187</v>
      </c>
      <c r="F8" s="79">
        <f t="shared" si="3"/>
        <v>107604</v>
      </c>
      <c r="G8" s="79">
        <f t="shared" si="4"/>
        <v>258655</v>
      </c>
      <c r="H8" s="79">
        <v>0</v>
      </c>
      <c r="I8" s="79">
        <v>110447</v>
      </c>
      <c r="J8" s="79">
        <v>40604</v>
      </c>
      <c r="K8" s="79">
        <v>107604</v>
      </c>
      <c r="L8" s="79">
        <f t="shared" si="5"/>
        <v>72842</v>
      </c>
      <c r="M8" s="79">
        <v>0</v>
      </c>
      <c r="N8" s="79">
        <v>38211</v>
      </c>
      <c r="O8" s="79">
        <v>34631</v>
      </c>
      <c r="P8" s="79">
        <f t="shared" si="6"/>
        <v>215487</v>
      </c>
      <c r="Q8" s="79">
        <v>0</v>
      </c>
      <c r="R8" s="79">
        <v>89535</v>
      </c>
      <c r="S8" s="79">
        <v>125952</v>
      </c>
      <c r="T8" s="79">
        <f t="shared" ref="T8:T21" si="9">SUM(U8:V8)</f>
        <v>19116</v>
      </c>
      <c r="U8" s="79">
        <v>19116</v>
      </c>
      <c r="V8" s="79">
        <v>0</v>
      </c>
      <c r="W8" s="79">
        <f t="shared" si="7"/>
        <v>24788</v>
      </c>
      <c r="X8" s="79">
        <v>0</v>
      </c>
      <c r="Y8" s="79">
        <v>24788</v>
      </c>
    </row>
    <row r="9" spans="1:26" s="8" customFormat="1" ht="61.15" hidden="1" customHeight="1">
      <c r="A9" s="58" t="s">
        <v>0</v>
      </c>
      <c r="B9" s="80">
        <f t="shared" si="0"/>
        <v>603034</v>
      </c>
      <c r="C9" s="79">
        <f t="shared" si="1"/>
        <v>0</v>
      </c>
      <c r="D9" s="79">
        <f t="shared" si="2"/>
        <v>283376</v>
      </c>
      <c r="E9" s="79">
        <f t="shared" si="8"/>
        <v>201097</v>
      </c>
      <c r="F9" s="79">
        <f t="shared" si="3"/>
        <v>118561</v>
      </c>
      <c r="G9" s="79">
        <f t="shared" si="4"/>
        <v>271187</v>
      </c>
      <c r="H9" s="79">
        <v>0</v>
      </c>
      <c r="I9" s="79">
        <v>111620</v>
      </c>
      <c r="J9" s="79">
        <v>41006</v>
      </c>
      <c r="K9" s="79">
        <v>118561</v>
      </c>
      <c r="L9" s="79">
        <f t="shared" si="5"/>
        <v>72295</v>
      </c>
      <c r="M9" s="79">
        <v>0</v>
      </c>
      <c r="N9" s="79">
        <v>38025</v>
      </c>
      <c r="O9" s="79">
        <v>34270</v>
      </c>
      <c r="P9" s="79">
        <f t="shared" si="6"/>
        <v>216415</v>
      </c>
      <c r="Q9" s="79">
        <v>0</v>
      </c>
      <c r="R9" s="79">
        <v>90594</v>
      </c>
      <c r="S9" s="79">
        <v>125821</v>
      </c>
      <c r="T9" s="79">
        <f t="shared" si="9"/>
        <v>18881</v>
      </c>
      <c r="U9" s="79">
        <v>18881</v>
      </c>
      <c r="V9" s="79">
        <v>0</v>
      </c>
      <c r="W9" s="79">
        <f t="shared" si="7"/>
        <v>24256</v>
      </c>
      <c r="X9" s="79">
        <v>0</v>
      </c>
      <c r="Y9" s="79">
        <v>24256</v>
      </c>
    </row>
    <row r="10" spans="1:26" s="8" customFormat="1" ht="69" hidden="1" customHeight="1">
      <c r="A10" s="58" t="s">
        <v>1</v>
      </c>
      <c r="B10" s="79">
        <f t="shared" si="0"/>
        <v>612755</v>
      </c>
      <c r="C10" s="79">
        <f t="shared" si="1"/>
        <v>0</v>
      </c>
      <c r="D10" s="79">
        <f t="shared" si="2"/>
        <v>287824</v>
      </c>
      <c r="E10" s="79">
        <f t="shared" si="8"/>
        <v>200317</v>
      </c>
      <c r="F10" s="79">
        <f t="shared" si="3"/>
        <v>124614</v>
      </c>
      <c r="G10" s="79">
        <f t="shared" si="4"/>
        <v>278837</v>
      </c>
      <c r="H10" s="79">
        <v>0</v>
      </c>
      <c r="I10" s="79">
        <v>113054</v>
      </c>
      <c r="J10" s="79">
        <v>41169</v>
      </c>
      <c r="K10" s="79">
        <v>124614</v>
      </c>
      <c r="L10" s="79">
        <f t="shared" si="5"/>
        <v>73328</v>
      </c>
      <c r="M10" s="79">
        <v>0</v>
      </c>
      <c r="N10" s="79">
        <v>39565</v>
      </c>
      <c r="O10" s="79">
        <v>33763</v>
      </c>
      <c r="P10" s="79">
        <f t="shared" si="6"/>
        <v>217386</v>
      </c>
      <c r="Q10" s="79">
        <v>0</v>
      </c>
      <c r="R10" s="79">
        <v>92001</v>
      </c>
      <c r="S10" s="79">
        <v>125385</v>
      </c>
      <c r="T10" s="79">
        <f t="shared" si="9"/>
        <v>18803</v>
      </c>
      <c r="U10" s="79">
        <v>18803</v>
      </c>
      <c r="V10" s="79">
        <v>0</v>
      </c>
      <c r="W10" s="79">
        <f t="shared" si="7"/>
        <v>24401</v>
      </c>
      <c r="X10" s="79">
        <v>0</v>
      </c>
      <c r="Y10" s="79">
        <v>24401</v>
      </c>
    </row>
    <row r="11" spans="1:26" s="8" customFormat="1" ht="69" hidden="1" customHeight="1">
      <c r="A11" s="58" t="s">
        <v>2</v>
      </c>
      <c r="B11" s="79">
        <f>G11+L11+P11+T11+W11</f>
        <v>629903</v>
      </c>
      <c r="C11" s="79">
        <f t="shared" si="1"/>
        <v>0</v>
      </c>
      <c r="D11" s="79">
        <f t="shared" si="2"/>
        <v>291581</v>
      </c>
      <c r="E11" s="79">
        <f t="shared" si="8"/>
        <v>199007</v>
      </c>
      <c r="F11" s="79">
        <f t="shared" si="3"/>
        <v>139315</v>
      </c>
      <c r="G11" s="79">
        <f t="shared" si="4"/>
        <v>295436</v>
      </c>
      <c r="H11" s="79">
        <v>0</v>
      </c>
      <c r="I11" s="79">
        <v>114812</v>
      </c>
      <c r="J11" s="79">
        <v>41309</v>
      </c>
      <c r="K11" s="79">
        <v>139315</v>
      </c>
      <c r="L11" s="79">
        <f t="shared" si="5"/>
        <v>73356</v>
      </c>
      <c r="M11" s="79">
        <v>0</v>
      </c>
      <c r="N11" s="79">
        <v>40099</v>
      </c>
      <c r="O11" s="79">
        <v>33257</v>
      </c>
      <c r="P11" s="79">
        <f t="shared" si="6"/>
        <v>218747</v>
      </c>
      <c r="Q11" s="79">
        <v>0</v>
      </c>
      <c r="R11" s="79">
        <v>94306</v>
      </c>
      <c r="S11" s="79">
        <v>124441</v>
      </c>
      <c r="T11" s="79">
        <f t="shared" si="9"/>
        <v>18781</v>
      </c>
      <c r="U11" s="79">
        <v>18781</v>
      </c>
      <c r="V11" s="79">
        <v>0</v>
      </c>
      <c r="W11" s="79">
        <f t="shared" si="7"/>
        <v>23583</v>
      </c>
      <c r="X11" s="79">
        <v>0</v>
      </c>
      <c r="Y11" s="79">
        <v>23583</v>
      </c>
      <c r="Z11" s="89"/>
    </row>
    <row r="12" spans="1:26" s="8" customFormat="1" ht="69" hidden="1" customHeight="1">
      <c r="A12" s="58" t="s">
        <v>3</v>
      </c>
      <c r="B12" s="79">
        <f t="shared" ref="B12:B21" si="10">G12+L12+P12+T12+W12</f>
        <v>640082</v>
      </c>
      <c r="C12" s="79">
        <f t="shared" si="1"/>
        <v>0</v>
      </c>
      <c r="D12" s="79">
        <f t="shared" si="2"/>
        <v>293861</v>
      </c>
      <c r="E12" s="79">
        <f t="shared" si="8"/>
        <v>196840</v>
      </c>
      <c r="F12" s="79">
        <f t="shared" si="3"/>
        <v>149381</v>
      </c>
      <c r="G12" s="79">
        <f t="shared" si="4"/>
        <v>306813</v>
      </c>
      <c r="H12" s="79">
        <v>0</v>
      </c>
      <c r="I12" s="79">
        <v>116150</v>
      </c>
      <c r="J12" s="79">
        <v>41282</v>
      </c>
      <c r="K12" s="79">
        <v>149381</v>
      </c>
      <c r="L12" s="79">
        <f t="shared" si="5"/>
        <v>164534</v>
      </c>
      <c r="M12" s="79">
        <v>0</v>
      </c>
      <c r="N12" s="79">
        <v>81069</v>
      </c>
      <c r="O12" s="79">
        <v>83465</v>
      </c>
      <c r="P12" s="79">
        <f t="shared" si="6"/>
        <v>132181</v>
      </c>
      <c r="Q12" s="79">
        <v>0</v>
      </c>
      <c r="R12" s="79">
        <v>60088</v>
      </c>
      <c r="S12" s="79">
        <v>72093</v>
      </c>
      <c r="T12" s="79">
        <f>SUM(U12:V12)</f>
        <v>13242</v>
      </c>
      <c r="U12" s="79">
        <v>13242</v>
      </c>
      <c r="V12" s="79">
        <v>0</v>
      </c>
      <c r="W12" s="79">
        <f t="shared" si="7"/>
        <v>23312</v>
      </c>
      <c r="X12" s="79">
        <v>0</v>
      </c>
      <c r="Y12" s="79">
        <v>23312</v>
      </c>
      <c r="Z12" s="89"/>
    </row>
    <row r="13" spans="1:26" s="8" customFormat="1" ht="69" hidden="1" customHeight="1">
      <c r="A13" s="58" t="s">
        <v>4</v>
      </c>
      <c r="B13" s="79">
        <f t="shared" si="10"/>
        <v>631690</v>
      </c>
      <c r="C13" s="79">
        <f t="shared" si="1"/>
        <v>0</v>
      </c>
      <c r="D13" s="79">
        <f t="shared" si="2"/>
        <v>291487</v>
      </c>
      <c r="E13" s="79">
        <f t="shared" si="8"/>
        <v>194064</v>
      </c>
      <c r="F13" s="79">
        <f t="shared" si="3"/>
        <v>146139</v>
      </c>
      <c r="G13" s="79">
        <f t="shared" si="4"/>
        <v>301688</v>
      </c>
      <c r="H13" s="79">
        <v>0</v>
      </c>
      <c r="I13" s="79">
        <v>114412</v>
      </c>
      <c r="J13" s="79">
        <v>41137</v>
      </c>
      <c r="K13" s="79">
        <v>146139</v>
      </c>
      <c r="L13" s="79">
        <f t="shared" si="5"/>
        <v>179498</v>
      </c>
      <c r="M13" s="79">
        <v>0</v>
      </c>
      <c r="N13" s="79">
        <v>89497</v>
      </c>
      <c r="O13" s="79">
        <v>90001</v>
      </c>
      <c r="P13" s="79">
        <f t="shared" si="6"/>
        <v>116180</v>
      </c>
      <c r="Q13" s="79">
        <v>0</v>
      </c>
      <c r="R13" s="79">
        <v>53254</v>
      </c>
      <c r="S13" s="79">
        <v>62926</v>
      </c>
      <c r="T13" s="79">
        <f t="shared" si="9"/>
        <v>11464</v>
      </c>
      <c r="U13" s="79">
        <v>11464</v>
      </c>
      <c r="V13" s="79">
        <v>0</v>
      </c>
      <c r="W13" s="79">
        <f t="shared" si="7"/>
        <v>22860</v>
      </c>
      <c r="X13" s="79">
        <v>0</v>
      </c>
      <c r="Y13" s="79">
        <v>22860</v>
      </c>
      <c r="Z13" s="89"/>
    </row>
    <row r="14" spans="1:26" s="8" customFormat="1" ht="69" hidden="1" customHeight="1">
      <c r="A14" s="58" t="s">
        <v>5</v>
      </c>
      <c r="B14" s="79">
        <f t="shared" si="10"/>
        <v>627163</v>
      </c>
      <c r="C14" s="79">
        <f t="shared" si="1"/>
        <v>0</v>
      </c>
      <c r="D14" s="79">
        <f t="shared" si="2"/>
        <v>292326</v>
      </c>
      <c r="E14" s="79">
        <f t="shared" si="8"/>
        <v>193083</v>
      </c>
      <c r="F14" s="79">
        <f t="shared" si="3"/>
        <v>141754</v>
      </c>
      <c r="G14" s="79">
        <f t="shared" si="4"/>
        <v>297118</v>
      </c>
      <c r="H14" s="79">
        <v>0</v>
      </c>
      <c r="I14" s="79">
        <v>115000</v>
      </c>
      <c r="J14" s="79">
        <v>40364</v>
      </c>
      <c r="K14" s="79">
        <v>141754</v>
      </c>
      <c r="L14" s="79">
        <f t="shared" si="5"/>
        <v>180258</v>
      </c>
      <c r="M14" s="79">
        <v>0</v>
      </c>
      <c r="N14" s="79">
        <v>90213</v>
      </c>
      <c r="O14" s="79">
        <v>90045</v>
      </c>
      <c r="P14" s="79">
        <f t="shared" si="6"/>
        <v>116228</v>
      </c>
      <c r="Q14" s="79">
        <v>0</v>
      </c>
      <c r="R14" s="79">
        <v>53554</v>
      </c>
      <c r="S14" s="79">
        <v>62674</v>
      </c>
      <c r="T14" s="79">
        <f t="shared" si="9"/>
        <v>11426</v>
      </c>
      <c r="U14" s="79">
        <v>11426</v>
      </c>
      <c r="V14" s="79">
        <v>0</v>
      </c>
      <c r="W14" s="79">
        <f t="shared" si="7"/>
        <v>22133</v>
      </c>
      <c r="X14" s="79">
        <v>0</v>
      </c>
      <c r="Y14" s="79">
        <v>22133</v>
      </c>
      <c r="Z14" s="89"/>
    </row>
    <row r="15" spans="1:26" s="8" customFormat="1" ht="69" hidden="1" customHeight="1">
      <c r="A15" s="58" t="s">
        <v>6</v>
      </c>
      <c r="B15" s="79">
        <f t="shared" si="10"/>
        <v>622197</v>
      </c>
      <c r="C15" s="79">
        <f t="shared" si="1"/>
        <v>0</v>
      </c>
      <c r="D15" s="79">
        <f t="shared" ref="D15:D20" si="11">I15+N15+R15+U15+Y15</f>
        <v>293535</v>
      </c>
      <c r="E15" s="79">
        <f t="shared" si="8"/>
        <v>192275</v>
      </c>
      <c r="F15" s="79">
        <f t="shared" si="3"/>
        <v>136387</v>
      </c>
      <c r="G15" s="79">
        <f t="shared" si="4"/>
        <v>290899</v>
      </c>
      <c r="H15" s="79">
        <v>0</v>
      </c>
      <c r="I15" s="79">
        <v>115110</v>
      </c>
      <c r="J15" s="79">
        <v>39402</v>
      </c>
      <c r="K15" s="79">
        <v>136387</v>
      </c>
      <c r="L15" s="79">
        <f t="shared" si="5"/>
        <v>181474</v>
      </c>
      <c r="M15" s="79">
        <v>0</v>
      </c>
      <c r="N15" s="79">
        <v>91183</v>
      </c>
      <c r="O15" s="79">
        <v>90291</v>
      </c>
      <c r="P15" s="79">
        <f t="shared" si="6"/>
        <v>116537</v>
      </c>
      <c r="Q15" s="79">
        <v>0</v>
      </c>
      <c r="R15" s="79">
        <v>53955</v>
      </c>
      <c r="S15" s="79">
        <v>62582</v>
      </c>
      <c r="T15" s="79">
        <f t="shared" si="9"/>
        <v>11357</v>
      </c>
      <c r="U15" s="79">
        <v>11357</v>
      </c>
      <c r="V15" s="79">
        <v>0</v>
      </c>
      <c r="W15" s="79">
        <f t="shared" si="7"/>
        <v>21930</v>
      </c>
      <c r="X15" s="79">
        <v>0</v>
      </c>
      <c r="Y15" s="79">
        <v>21930</v>
      </c>
      <c r="Z15" s="89"/>
    </row>
    <row r="16" spans="1:26" s="8" customFormat="1" ht="69" hidden="1" customHeight="1">
      <c r="A16" s="58" t="s">
        <v>7</v>
      </c>
      <c r="B16" s="79">
        <f t="shared" si="10"/>
        <v>624993</v>
      </c>
      <c r="C16" s="79">
        <f>H16+M16+Q16+X16</f>
        <v>0</v>
      </c>
      <c r="D16" s="79">
        <f t="shared" si="11"/>
        <v>289833</v>
      </c>
      <c r="E16" s="79">
        <f t="shared" si="8"/>
        <v>191541</v>
      </c>
      <c r="F16" s="79">
        <f>K16</f>
        <v>143619</v>
      </c>
      <c r="G16" s="79">
        <f>SUM(H16:K16)</f>
        <v>297737</v>
      </c>
      <c r="H16" s="79">
        <v>0</v>
      </c>
      <c r="I16" s="79">
        <v>114954</v>
      </c>
      <c r="J16" s="79">
        <v>39164</v>
      </c>
      <c r="K16" s="79">
        <v>143619</v>
      </c>
      <c r="L16" s="79">
        <f>SUM(M16:O16)</f>
        <v>180572</v>
      </c>
      <c r="M16" s="79">
        <v>0</v>
      </c>
      <c r="N16" s="79">
        <f>91411-1386</f>
        <v>90025</v>
      </c>
      <c r="O16" s="79">
        <f>95818-5271</f>
        <v>90547</v>
      </c>
      <c r="P16" s="79">
        <f>SUM(Q16:S16)</f>
        <v>114361</v>
      </c>
      <c r="Q16" s="79">
        <v>0</v>
      </c>
      <c r="R16" s="79">
        <f>51240+1292</f>
        <v>52532</v>
      </c>
      <c r="S16" s="79">
        <f>56558+5271</f>
        <v>61829</v>
      </c>
      <c r="T16" s="79">
        <f t="shared" si="9"/>
        <v>11128</v>
      </c>
      <c r="U16" s="79">
        <f>11033+94</f>
        <v>11127</v>
      </c>
      <c r="V16" s="79">
        <v>1</v>
      </c>
      <c r="W16" s="79">
        <f t="shared" si="7"/>
        <v>21195</v>
      </c>
      <c r="X16" s="79">
        <v>0</v>
      </c>
      <c r="Y16" s="79">
        <v>21195</v>
      </c>
      <c r="Z16" s="89"/>
    </row>
    <row r="17" spans="1:26" s="8" customFormat="1" ht="69" hidden="1" customHeight="1">
      <c r="A17" s="58" t="s">
        <v>382</v>
      </c>
      <c r="B17" s="79">
        <f t="shared" si="10"/>
        <v>629566</v>
      </c>
      <c r="C17" s="79">
        <f>H17+M17+Q17+X17</f>
        <v>0</v>
      </c>
      <c r="D17" s="79">
        <f t="shared" si="11"/>
        <v>288415</v>
      </c>
      <c r="E17" s="79">
        <f t="shared" si="8"/>
        <v>188947</v>
      </c>
      <c r="F17" s="79">
        <f>K17</f>
        <v>152204</v>
      </c>
      <c r="G17" s="79">
        <f>SUM(H17:K17)</f>
        <v>305471</v>
      </c>
      <c r="H17" s="79">
        <v>0</v>
      </c>
      <c r="I17" s="79">
        <v>114452</v>
      </c>
      <c r="J17" s="79">
        <v>38815</v>
      </c>
      <c r="K17" s="79">
        <v>152204</v>
      </c>
      <c r="L17" s="79">
        <f>SUM(M17:O17)</f>
        <v>201291</v>
      </c>
      <c r="M17" s="79">
        <v>0</v>
      </c>
      <c r="N17" s="79">
        <v>99264</v>
      </c>
      <c r="O17" s="79">
        <v>102027</v>
      </c>
      <c r="P17" s="79">
        <f>SUM(Q17:S17)</f>
        <v>92289</v>
      </c>
      <c r="Q17" s="79">
        <v>0</v>
      </c>
      <c r="R17" s="79">
        <v>44185</v>
      </c>
      <c r="S17" s="79">
        <v>48104</v>
      </c>
      <c r="T17" s="79">
        <f t="shared" si="9"/>
        <v>10030</v>
      </c>
      <c r="U17" s="79">
        <v>10029</v>
      </c>
      <c r="V17" s="79">
        <v>1</v>
      </c>
      <c r="W17" s="79">
        <f t="shared" si="7"/>
        <v>20485</v>
      </c>
      <c r="X17" s="79">
        <v>0</v>
      </c>
      <c r="Y17" s="79">
        <v>20485</v>
      </c>
      <c r="Z17" s="89"/>
    </row>
    <row r="18" spans="1:26" s="8" customFormat="1" ht="69" hidden="1" customHeight="1">
      <c r="A18" s="58" t="s">
        <v>383</v>
      </c>
      <c r="B18" s="79">
        <f t="shared" si="10"/>
        <v>634666</v>
      </c>
      <c r="C18" s="79">
        <f>H18+M18+Q18+X18</f>
        <v>0</v>
      </c>
      <c r="D18" s="79">
        <f t="shared" si="11"/>
        <v>289257</v>
      </c>
      <c r="E18" s="79">
        <f t="shared" si="8"/>
        <v>185810</v>
      </c>
      <c r="F18" s="79">
        <f>K18</f>
        <v>159599</v>
      </c>
      <c r="G18" s="79">
        <f>SUM(H18:K18)</f>
        <v>312016</v>
      </c>
      <c r="H18" s="79">
        <v>0</v>
      </c>
      <c r="I18" s="79">
        <v>114508</v>
      </c>
      <c r="J18" s="79">
        <v>37909</v>
      </c>
      <c r="K18" s="79">
        <v>159599</v>
      </c>
      <c r="L18" s="79">
        <f>SUM(M18:O18)</f>
        <v>201251</v>
      </c>
      <c r="M18" s="79">
        <v>0</v>
      </c>
      <c r="N18" s="79">
        <v>100181</v>
      </c>
      <c r="O18" s="79">
        <v>101070</v>
      </c>
      <c r="P18" s="79">
        <f>SUM(Q18:S18)</f>
        <v>91230</v>
      </c>
      <c r="Q18" s="79">
        <v>0</v>
      </c>
      <c r="R18" s="79">
        <v>44400</v>
      </c>
      <c r="S18" s="79">
        <v>46830</v>
      </c>
      <c r="T18" s="79">
        <f t="shared" si="9"/>
        <v>9963</v>
      </c>
      <c r="U18" s="79">
        <v>9962</v>
      </c>
      <c r="V18" s="79">
        <v>1</v>
      </c>
      <c r="W18" s="79">
        <f t="shared" si="7"/>
        <v>20206</v>
      </c>
      <c r="X18" s="79">
        <v>0</v>
      </c>
      <c r="Y18" s="79">
        <v>20206</v>
      </c>
      <c r="Z18" s="89"/>
    </row>
    <row r="19" spans="1:26" s="8" customFormat="1" ht="69" hidden="1" customHeight="1">
      <c r="A19" s="58" t="s">
        <v>384</v>
      </c>
      <c r="B19" s="79">
        <f t="shared" si="10"/>
        <v>639412</v>
      </c>
      <c r="C19" s="79">
        <f>H19+M19+Q19+X19</f>
        <v>0</v>
      </c>
      <c r="D19" s="79">
        <f t="shared" si="11"/>
        <v>293829</v>
      </c>
      <c r="E19" s="79">
        <f t="shared" si="8"/>
        <v>183372</v>
      </c>
      <c r="F19" s="79">
        <f>K19</f>
        <v>162211</v>
      </c>
      <c r="G19" s="79">
        <f>SUM(H19:K19)</f>
        <v>313319</v>
      </c>
      <c r="H19" s="79">
        <v>0</v>
      </c>
      <c r="I19" s="79">
        <v>115176</v>
      </c>
      <c r="J19" s="79">
        <v>35932</v>
      </c>
      <c r="K19" s="79">
        <v>162211</v>
      </c>
      <c r="L19" s="79">
        <f>SUM(M19:O19)</f>
        <v>204481</v>
      </c>
      <c r="M19" s="79">
        <v>0</v>
      </c>
      <c r="N19" s="79">
        <v>102835</v>
      </c>
      <c r="O19" s="79">
        <v>101646</v>
      </c>
      <c r="P19" s="79">
        <f>SUM(Q19:S19)</f>
        <v>91245</v>
      </c>
      <c r="Q19" s="79">
        <v>0</v>
      </c>
      <c r="R19" s="79">
        <v>45452</v>
      </c>
      <c r="S19" s="79">
        <v>45793</v>
      </c>
      <c r="T19" s="79">
        <f t="shared" si="9"/>
        <v>9978</v>
      </c>
      <c r="U19" s="79">
        <v>9977</v>
      </c>
      <c r="V19" s="79">
        <v>1</v>
      </c>
      <c r="W19" s="79">
        <f t="shared" si="7"/>
        <v>20389</v>
      </c>
      <c r="X19" s="79">
        <v>0</v>
      </c>
      <c r="Y19" s="79">
        <v>20389</v>
      </c>
      <c r="Z19" s="89"/>
    </row>
    <row r="20" spans="1:26" s="8" customFormat="1" ht="69" hidden="1" customHeight="1">
      <c r="A20" s="97" t="s">
        <v>385</v>
      </c>
      <c r="B20" s="81">
        <f t="shared" si="10"/>
        <v>651186</v>
      </c>
      <c r="C20" s="81">
        <f>H20+M20+Q20+X20</f>
        <v>0</v>
      </c>
      <c r="D20" s="81">
        <f t="shared" si="11"/>
        <v>297704</v>
      </c>
      <c r="E20" s="81">
        <f t="shared" si="8"/>
        <v>182664</v>
      </c>
      <c r="F20" s="81">
        <f>K20</f>
        <v>170818</v>
      </c>
      <c r="G20" s="81">
        <f>SUM(H20:K20)</f>
        <v>321579</v>
      </c>
      <c r="H20" s="81">
        <v>0</v>
      </c>
      <c r="I20" s="81">
        <v>115594</v>
      </c>
      <c r="J20" s="81">
        <v>35167</v>
      </c>
      <c r="K20" s="81">
        <v>170818</v>
      </c>
      <c r="L20" s="81">
        <f>SUM(M20:O20)</f>
        <v>206909</v>
      </c>
      <c r="M20" s="81">
        <v>0</v>
      </c>
      <c r="N20" s="81">
        <v>104820</v>
      </c>
      <c r="O20" s="81">
        <v>102089</v>
      </c>
      <c r="P20" s="81">
        <f>SUM(Q20:S20)</f>
        <v>92006</v>
      </c>
      <c r="Q20" s="81">
        <v>0</v>
      </c>
      <c r="R20" s="81">
        <v>46599</v>
      </c>
      <c r="S20" s="81">
        <v>45407</v>
      </c>
      <c r="T20" s="81">
        <f t="shared" si="9"/>
        <v>9837</v>
      </c>
      <c r="U20" s="81">
        <v>9836</v>
      </c>
      <c r="V20" s="81">
        <v>1</v>
      </c>
      <c r="W20" s="81">
        <f t="shared" si="7"/>
        <v>20855</v>
      </c>
      <c r="X20" s="81">
        <v>0</v>
      </c>
      <c r="Y20" s="81">
        <v>20855</v>
      </c>
      <c r="Z20" s="89"/>
    </row>
    <row r="21" spans="1:26" s="8" customFormat="1" ht="69" customHeight="1">
      <c r="A21" s="97" t="s">
        <v>386</v>
      </c>
      <c r="B21" s="81">
        <f t="shared" si="10"/>
        <v>663550</v>
      </c>
      <c r="C21" s="791">
        <f>H21+M21+Q21+U21+X21</f>
        <v>389252</v>
      </c>
      <c r="D21" s="791"/>
      <c r="E21" s="791">
        <f>J21+O21+S21+V21+Y21</f>
        <v>274298</v>
      </c>
      <c r="F21" s="791"/>
      <c r="G21" s="81">
        <f t="shared" si="4"/>
        <v>330613</v>
      </c>
      <c r="H21" s="791">
        <v>234418</v>
      </c>
      <c r="I21" s="791"/>
      <c r="J21" s="791">
        <v>96195</v>
      </c>
      <c r="K21" s="791"/>
      <c r="L21" s="81">
        <f t="shared" si="5"/>
        <v>208944</v>
      </c>
      <c r="M21" s="791">
        <v>91980</v>
      </c>
      <c r="N21" s="791"/>
      <c r="O21" s="81">
        <v>116964</v>
      </c>
      <c r="P21" s="81">
        <f t="shared" si="6"/>
        <v>92493</v>
      </c>
      <c r="Q21" s="791">
        <v>44225</v>
      </c>
      <c r="R21" s="791"/>
      <c r="S21" s="81">
        <v>48268</v>
      </c>
      <c r="T21" s="81">
        <f t="shared" si="9"/>
        <v>9886</v>
      </c>
      <c r="U21" s="81">
        <v>4700</v>
      </c>
      <c r="V21" s="81">
        <v>5186</v>
      </c>
      <c r="W21" s="81">
        <f t="shared" si="7"/>
        <v>21614</v>
      </c>
      <c r="X21" s="81">
        <v>13929</v>
      </c>
      <c r="Y21" s="81">
        <v>7685</v>
      </c>
      <c r="Z21" s="89"/>
    </row>
    <row r="22" spans="1:26" ht="21.2" hidden="1" customHeight="1">
      <c r="A22" s="786"/>
      <c r="B22" s="786"/>
      <c r="C22" s="786"/>
      <c r="D22" s="786"/>
      <c r="E22" s="786"/>
      <c r="F22" s="786"/>
      <c r="G22" s="786"/>
      <c r="H22" s="786"/>
      <c r="I22" s="786"/>
      <c r="J22" s="786"/>
      <c r="K22" s="786"/>
      <c r="L22" s="82"/>
    </row>
    <row r="23" spans="1:26" s="12" customFormat="1" ht="21.2" customHeight="1">
      <c r="A23" s="61" t="s">
        <v>358</v>
      </c>
      <c r="B23" s="175">
        <f>SUM(B21:Y21)-SUM('2人數-OK'!B21:Y21)</f>
        <v>0</v>
      </c>
      <c r="D23" s="175">
        <f>B21-'2人數-OK'!B21</f>
        <v>0</v>
      </c>
      <c r="G23" s="175">
        <f>G21-'2人數-OK'!G21</f>
        <v>0</v>
      </c>
      <c r="L23" s="175">
        <f>L21-'2人數-OK'!L21</f>
        <v>0</v>
      </c>
      <c r="P23" s="175">
        <f>P21-'2人數-OK'!P21</f>
        <v>0</v>
      </c>
      <c r="T23" s="175">
        <f>T21-'2人數-OK'!T21</f>
        <v>0</v>
      </c>
      <c r="W23" s="175">
        <f>W21-'2人數-OK'!W21</f>
        <v>0</v>
      </c>
    </row>
    <row r="24" spans="1:26" ht="25.5" customHeight="1">
      <c r="A24" s="12" t="s">
        <v>762</v>
      </c>
      <c r="B24" s="143">
        <f>B21-'[3]2人數性別附表-按政府別'!B21</f>
        <v>0</v>
      </c>
      <c r="C24" s="143">
        <f>C21-'[3]2人數性別附表-按政府別'!C21</f>
        <v>0</v>
      </c>
      <c r="D24" s="143">
        <f>D21-'[3]2人數性別附表-按政府別'!D21</f>
        <v>0</v>
      </c>
      <c r="E24" s="143">
        <f>E21-'[3]2人數性別附表-按政府別'!E21</f>
        <v>0</v>
      </c>
      <c r="F24" s="143">
        <f>F21-'[3]2人數性別附表-按政府別'!F21</f>
        <v>0</v>
      </c>
      <c r="G24" s="143">
        <f>G21-'[3]2人數性別附表-按政府別'!G21</f>
        <v>0</v>
      </c>
      <c r="H24" s="143">
        <f>H21-'[3]2人數性別附表-按政府別'!H21</f>
        <v>0</v>
      </c>
      <c r="I24" s="143">
        <f>I21-'[3]2人數性別附表-按政府別'!I21</f>
        <v>0</v>
      </c>
      <c r="J24" s="143">
        <f>J21-'[3]2人數性別附表-按政府別'!J21</f>
        <v>0</v>
      </c>
      <c r="K24" s="143">
        <f>K21-'[3]2人數性別附表-按政府別'!K21</f>
        <v>0</v>
      </c>
      <c r="L24" s="143">
        <f>L21-'[3]2人數性別附表-按政府別'!L21</f>
        <v>0</v>
      </c>
      <c r="M24" s="143">
        <f>M21-'[3]2人數性別附表-按政府別'!M21</f>
        <v>0</v>
      </c>
      <c r="N24" s="143">
        <f>N21-'[3]2人數性別附表-按政府別'!N21</f>
        <v>0</v>
      </c>
      <c r="O24" s="143">
        <f>O21-'[3]2人數性別附表-按政府別'!O21</f>
        <v>0</v>
      </c>
      <c r="P24" s="143">
        <f>P21-'[3]2人數性別附表-按政府別'!P21</f>
        <v>0</v>
      </c>
      <c r="Q24" s="143">
        <f>Q21-'[3]2人數性別附表-按政府別'!Q21</f>
        <v>0</v>
      </c>
      <c r="R24" s="143">
        <f>R21-'[3]2人數性別附表-按政府別'!R21</f>
        <v>0</v>
      </c>
      <c r="S24" s="143">
        <f>S21-'[3]2人數性別附表-按政府別'!S21</f>
        <v>0</v>
      </c>
      <c r="T24" s="143">
        <f>T21-'[3]2人數性別附表-按政府別'!T21</f>
        <v>0</v>
      </c>
      <c r="U24" s="143">
        <f>U21-'[3]2人數性別附表-按政府別'!U21</f>
        <v>0</v>
      </c>
      <c r="V24" s="143">
        <f>V21-'[3]2人數性別附表-按政府別'!V21</f>
        <v>0</v>
      </c>
      <c r="W24" s="143">
        <f>W21-'[3]2人數性別附表-按政府別'!W21</f>
        <v>0</v>
      </c>
      <c r="X24" s="143">
        <f>X21-'[3]2人數性別附表-按政府別'!X21</f>
        <v>0</v>
      </c>
      <c r="Y24" s="143">
        <f>Y21-'[3]2人數性別附表-按政府別'!Y21</f>
        <v>0</v>
      </c>
    </row>
    <row r="25" spans="1:26" ht="74.25" customHeight="1">
      <c r="B25" s="143"/>
    </row>
  </sheetData>
  <mergeCells count="22">
    <mergeCell ref="W3:Y3"/>
    <mergeCell ref="C4:D4"/>
    <mergeCell ref="E4:F4"/>
    <mergeCell ref="H4:I4"/>
    <mergeCell ref="J4:K4"/>
    <mergeCell ref="M4:N4"/>
    <mergeCell ref="Q4:R4"/>
    <mergeCell ref="Q21:R21"/>
    <mergeCell ref="A22:K22"/>
    <mergeCell ref="P3:S3"/>
    <mergeCell ref="T3:V3"/>
    <mergeCell ref="C21:D21"/>
    <mergeCell ref="E21:F21"/>
    <mergeCell ref="H21:I21"/>
    <mergeCell ref="J21:K21"/>
    <mergeCell ref="M21:N21"/>
    <mergeCell ref="A1:L1"/>
    <mergeCell ref="A2:L2"/>
    <mergeCell ref="A3:A4"/>
    <mergeCell ref="B3:F3"/>
    <mergeCell ref="G3:K3"/>
    <mergeCell ref="L3:O3"/>
  </mergeCells>
  <phoneticPr fontId="3" type="noConversion"/>
  <pageMargins left="0.31" right="0.32" top="0.59055118110236227" bottom="0.78740157480314965" header="0.16" footer="0"/>
  <pageSetup paperSize="9" scale="90" fitToWidth="2"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indexed="13"/>
  </sheetPr>
  <dimension ref="A1:J28"/>
  <sheetViews>
    <sheetView tabSelected="1" view="pageBreakPreview" zoomScale="75" zoomScaleNormal="90" zoomScaleSheetLayoutView="75" workbookViewId="0">
      <pane xSplit="1" ySplit="5" topLeftCell="B12" activePane="bottomRight" state="frozen"/>
      <selection activeCell="E20" sqref="E20"/>
      <selection pane="topRight" activeCell="E20" sqref="E20"/>
      <selection pane="bottomLeft" activeCell="E20" sqref="E20"/>
      <selection pane="bottomRight" activeCell="M15" sqref="M15"/>
    </sheetView>
  </sheetViews>
  <sheetFormatPr defaultColWidth="9" defaultRowHeight="15.75"/>
  <cols>
    <col min="1" max="1" width="9.625" style="62" customWidth="1"/>
    <col min="2" max="2" width="9.125" style="62" customWidth="1"/>
    <col min="3" max="3" width="10.125" style="62" customWidth="1"/>
    <col min="4" max="4" width="9.125" style="62" customWidth="1"/>
    <col min="5" max="5" width="10.375" style="62" customWidth="1"/>
    <col min="6" max="6" width="9.125" style="62" customWidth="1"/>
    <col min="7" max="7" width="10.875" style="62" customWidth="1"/>
    <col min="8" max="8" width="9.125" style="62" customWidth="1"/>
    <col min="9" max="9" width="10.125" style="62" customWidth="1"/>
    <col min="10" max="16384" width="9" style="62"/>
  </cols>
  <sheetData>
    <row r="1" spans="1:10" s="60" customFormat="1" ht="33" customHeight="1">
      <c r="A1" s="813" t="s">
        <v>322</v>
      </c>
      <c r="B1" s="813"/>
      <c r="C1" s="813"/>
      <c r="D1" s="813"/>
      <c r="E1" s="813"/>
      <c r="F1" s="813"/>
      <c r="G1" s="813"/>
      <c r="H1" s="813"/>
      <c r="I1" s="813"/>
    </row>
    <row r="2" spans="1:10" s="60" customFormat="1" ht="25.35" customHeight="1">
      <c r="A2" s="884" t="s">
        <v>323</v>
      </c>
      <c r="B2" s="884"/>
      <c r="C2" s="884"/>
      <c r="D2" s="884"/>
      <c r="E2" s="884"/>
      <c r="F2" s="884"/>
      <c r="G2" s="884"/>
      <c r="H2" s="884"/>
      <c r="I2" s="884"/>
    </row>
    <row r="3" spans="1:10" s="2" customFormat="1" ht="33" customHeight="1">
      <c r="A3" s="882" t="s">
        <v>415</v>
      </c>
      <c r="B3" s="882"/>
      <c r="C3" s="882"/>
      <c r="D3" s="882"/>
      <c r="E3" s="882"/>
      <c r="F3" s="882"/>
      <c r="G3" s="882"/>
      <c r="H3" s="883" t="s">
        <v>324</v>
      </c>
      <c r="I3" s="883"/>
    </row>
    <row r="4" spans="1:10" s="1" customFormat="1" ht="35.1" customHeight="1">
      <c r="A4" s="793" t="s">
        <v>325</v>
      </c>
      <c r="B4" s="812" t="s">
        <v>326</v>
      </c>
      <c r="C4" s="824"/>
      <c r="D4" s="812" t="s">
        <v>327</v>
      </c>
      <c r="E4" s="824"/>
      <c r="F4" s="812" t="s">
        <v>328</v>
      </c>
      <c r="G4" s="824"/>
      <c r="H4" s="812" t="s">
        <v>329</v>
      </c>
      <c r="I4" s="824"/>
    </row>
    <row r="5" spans="1:10" s="1" customFormat="1" ht="35.1" customHeight="1">
      <c r="A5" s="793"/>
      <c r="B5" s="98" t="s">
        <v>330</v>
      </c>
      <c r="C5" s="99" t="s">
        <v>331</v>
      </c>
      <c r="D5" s="98" t="s">
        <v>330</v>
      </c>
      <c r="E5" s="99" t="s">
        <v>331</v>
      </c>
      <c r="F5" s="98" t="s">
        <v>330</v>
      </c>
      <c r="G5" s="99" t="s">
        <v>331</v>
      </c>
      <c r="H5" s="98" t="s">
        <v>330</v>
      </c>
      <c r="I5" s="101" t="s">
        <v>331</v>
      </c>
      <c r="J5" s="61" t="s">
        <v>423</v>
      </c>
    </row>
    <row r="6" spans="1:10" s="1" customFormat="1" ht="60" hidden="1" customHeight="1">
      <c r="A6" s="58" t="s">
        <v>2</v>
      </c>
      <c r="B6" s="31">
        <v>51480</v>
      </c>
      <c r="C6" s="64">
        <v>45</v>
      </c>
      <c r="D6" s="31">
        <v>34744</v>
      </c>
      <c r="E6" s="64">
        <v>56.43</v>
      </c>
      <c r="F6" s="31">
        <v>44877</v>
      </c>
      <c r="G6" s="64">
        <v>57.73</v>
      </c>
      <c r="H6" s="31">
        <v>20644</v>
      </c>
      <c r="I6" s="64">
        <v>27.35</v>
      </c>
    </row>
    <row r="7" spans="1:10" s="1" customFormat="1" ht="60" customHeight="1">
      <c r="A7" s="58" t="s">
        <v>3</v>
      </c>
      <c r="B7" s="32">
        <v>51480</v>
      </c>
      <c r="C7" s="64">
        <v>44</v>
      </c>
      <c r="D7" s="31">
        <v>34863.67</v>
      </c>
      <c r="E7" s="64">
        <v>55.103400000000001</v>
      </c>
      <c r="F7" s="31">
        <v>45567.965100000001</v>
      </c>
      <c r="G7" s="64">
        <v>56.186</v>
      </c>
      <c r="H7" s="31">
        <v>17912.7513</v>
      </c>
      <c r="I7" s="64">
        <v>26.206099999999999</v>
      </c>
      <c r="J7" s="143">
        <f>SUM(B7:I15)-SUM('[2]28平均俸額(一次退)-OK'!$B$7:$I$15)</f>
        <v>0</v>
      </c>
    </row>
    <row r="8" spans="1:10" s="1" customFormat="1" ht="60" customHeight="1">
      <c r="A8" s="58" t="s">
        <v>4</v>
      </c>
      <c r="B8" s="31">
        <v>0</v>
      </c>
      <c r="C8" s="64">
        <v>0</v>
      </c>
      <c r="D8" s="31">
        <v>36174.074099999998</v>
      </c>
      <c r="E8" s="64">
        <v>54.822200000000002</v>
      </c>
      <c r="F8" s="31">
        <v>46242.039499999999</v>
      </c>
      <c r="G8" s="64">
        <v>57.315800000000003</v>
      </c>
      <c r="H8" s="31">
        <v>15732.010899999999</v>
      </c>
      <c r="I8" s="64">
        <v>25.163499999999999</v>
      </c>
    </row>
    <row r="9" spans="1:10" s="1" customFormat="1" ht="60" customHeight="1">
      <c r="A9" s="58" t="s">
        <v>5</v>
      </c>
      <c r="B9" s="31">
        <v>0</v>
      </c>
      <c r="C9" s="64">
        <v>0</v>
      </c>
      <c r="D9" s="31">
        <v>36267.846715328502</v>
      </c>
      <c r="E9" s="64">
        <v>55.401459854014597</v>
      </c>
      <c r="F9" s="31">
        <v>46053.795180722896</v>
      </c>
      <c r="G9" s="64">
        <v>57.397590361445801</v>
      </c>
      <c r="H9" s="31">
        <v>15857.9344018217</v>
      </c>
      <c r="I9" s="64">
        <v>25.3034682080925</v>
      </c>
    </row>
    <row r="10" spans="1:10" s="1" customFormat="1" ht="60" customHeight="1">
      <c r="A10" s="58" t="s">
        <v>6</v>
      </c>
      <c r="B10" s="32">
        <v>0</v>
      </c>
      <c r="C10" s="64">
        <v>0</v>
      </c>
      <c r="D10" s="31">
        <v>35639.7977941176</v>
      </c>
      <c r="E10" s="64">
        <v>53.511029411764703</v>
      </c>
      <c r="F10" s="31">
        <v>47249.457831325301</v>
      </c>
      <c r="G10" s="64">
        <v>58.240963855421697</v>
      </c>
      <c r="H10" s="31">
        <v>15954.652228401301</v>
      </c>
      <c r="I10" s="64">
        <v>25.684029137620399</v>
      </c>
    </row>
    <row r="11" spans="1:10" s="1" customFormat="1" ht="60" customHeight="1">
      <c r="A11" s="58" t="s">
        <v>7</v>
      </c>
      <c r="B11" s="32">
        <v>0</v>
      </c>
      <c r="C11" s="64">
        <v>0</v>
      </c>
      <c r="D11" s="31">
        <v>37397.467362924297</v>
      </c>
      <c r="E11" s="64">
        <v>50.926892950391597</v>
      </c>
      <c r="F11" s="31">
        <v>47763.475609756097</v>
      </c>
      <c r="G11" s="64">
        <v>58.0731707317073</v>
      </c>
      <c r="H11" s="31">
        <v>16094.376764386499</v>
      </c>
      <c r="I11" s="64">
        <v>25.781758957654699</v>
      </c>
    </row>
    <row r="12" spans="1:10" s="29" customFormat="1" ht="60" customHeight="1">
      <c r="A12" s="58" t="s">
        <v>332</v>
      </c>
      <c r="B12" s="32">
        <v>0</v>
      </c>
      <c r="C12" s="31">
        <v>0</v>
      </c>
      <c r="D12" s="31">
        <v>37054.237726098203</v>
      </c>
      <c r="E12" s="64">
        <v>50.832041343669303</v>
      </c>
      <c r="F12" s="31">
        <v>47824.565217391297</v>
      </c>
      <c r="G12" s="64">
        <v>57.985507246376798</v>
      </c>
      <c r="H12" s="31">
        <v>17780.236568986598</v>
      </c>
      <c r="I12" s="64">
        <v>26.730006105006101</v>
      </c>
    </row>
    <row r="13" spans="1:10" s="29" customFormat="1" ht="60" customHeight="1">
      <c r="A13" s="58" t="s">
        <v>99</v>
      </c>
      <c r="B13" s="32">
        <v>0</v>
      </c>
      <c r="C13" s="31">
        <v>0</v>
      </c>
      <c r="D13" s="31">
        <v>37259.440298507499</v>
      </c>
      <c r="E13" s="64">
        <v>51.405472636815901</v>
      </c>
      <c r="F13" s="31">
        <v>47454.397590361397</v>
      </c>
      <c r="G13" s="64">
        <v>58.819277108433702</v>
      </c>
      <c r="H13" s="31">
        <v>17438.198513648698</v>
      </c>
      <c r="I13" s="64">
        <v>26.732170930398699</v>
      </c>
    </row>
    <row r="14" spans="1:10" s="29" customFormat="1" ht="60" customHeight="1">
      <c r="A14" s="58" t="s">
        <v>333</v>
      </c>
      <c r="B14" s="32">
        <v>0</v>
      </c>
      <c r="C14" s="31">
        <v>0</v>
      </c>
      <c r="D14" s="31">
        <v>38146.982300885</v>
      </c>
      <c r="E14" s="64">
        <v>50.184070796460198</v>
      </c>
      <c r="F14" s="31">
        <v>47942.387387387404</v>
      </c>
      <c r="G14" s="64">
        <v>56.369369369369402</v>
      </c>
      <c r="H14" s="31">
        <v>17115.921356509101</v>
      </c>
      <c r="I14" s="64">
        <v>26.810866658563299</v>
      </c>
    </row>
    <row r="15" spans="1:10" s="29" customFormat="1" ht="60" customHeight="1">
      <c r="A15" s="58" t="s">
        <v>200</v>
      </c>
      <c r="B15" s="32">
        <v>98160</v>
      </c>
      <c r="C15" s="64">
        <v>79</v>
      </c>
      <c r="D15" s="31">
        <v>39884.865470851997</v>
      </c>
      <c r="E15" s="64">
        <v>50.431988041853501</v>
      </c>
      <c r="F15" s="31">
        <v>49504.732142857101</v>
      </c>
      <c r="G15" s="64">
        <v>55</v>
      </c>
      <c r="H15" s="31">
        <v>16185.691778542099</v>
      </c>
      <c r="I15" s="64">
        <v>26.346388549872401</v>
      </c>
    </row>
    <row r="16" spans="1:10" s="1" customFormat="1" ht="60" customHeight="1">
      <c r="A16" s="97" t="s">
        <v>396</v>
      </c>
      <c r="B16" s="33">
        <v>0</v>
      </c>
      <c r="C16" s="45">
        <v>0</v>
      </c>
      <c r="D16" s="34">
        <v>37395.841836734697</v>
      </c>
      <c r="E16" s="45">
        <v>50.757653061224502</v>
      </c>
      <c r="F16" s="34">
        <v>47491.632183907997</v>
      </c>
      <c r="G16" s="45">
        <v>54.8735632183908</v>
      </c>
      <c r="H16" s="34">
        <v>15618.232061713999</v>
      </c>
      <c r="I16" s="45">
        <v>26.198034449963</v>
      </c>
    </row>
    <row r="17" spans="1:9">
      <c r="A17" s="12" t="s">
        <v>304</v>
      </c>
      <c r="B17" s="61"/>
      <c r="C17" s="61"/>
      <c r="D17" s="61"/>
      <c r="E17" s="61"/>
      <c r="F17" s="61"/>
      <c r="G17" s="61"/>
      <c r="H17" s="61"/>
      <c r="I17" s="61"/>
    </row>
    <row r="18" spans="1:9">
      <c r="A18" s="61"/>
      <c r="B18" s="120">
        <f>B16-'27平均俸額(總表)-OK'!B16</f>
        <v>0</v>
      </c>
      <c r="C18" s="120">
        <f>C16-'27平均俸額(總表)-OK'!C16</f>
        <v>0</v>
      </c>
      <c r="D18" s="61"/>
      <c r="E18" s="61"/>
      <c r="F18" s="61"/>
      <c r="G18" s="61"/>
      <c r="H18" s="61"/>
      <c r="I18" s="61"/>
    </row>
    <row r="19" spans="1:9">
      <c r="A19" s="61" t="s">
        <v>359</v>
      </c>
      <c r="B19" s="120">
        <f>SUM(B6:I14)-SUM('[1]28平均俸額(一次退) '!$B$7:$I$15)</f>
        <v>0</v>
      </c>
      <c r="C19" s="61"/>
      <c r="D19" s="61"/>
      <c r="E19" s="61"/>
      <c r="F19" s="61"/>
      <c r="G19" s="61"/>
      <c r="H19" s="61"/>
      <c r="I19" s="61"/>
    </row>
    <row r="20" spans="1:9">
      <c r="A20" s="61"/>
      <c r="B20" s="61"/>
      <c r="C20" s="61"/>
      <c r="D20" s="61"/>
      <c r="E20" s="61"/>
      <c r="F20" s="61"/>
      <c r="G20" s="61"/>
      <c r="H20" s="61"/>
      <c r="I20" s="61"/>
    </row>
    <row r="28" spans="1:9">
      <c r="B28" s="142"/>
      <c r="C28" s="142"/>
    </row>
  </sheetData>
  <mergeCells count="9">
    <mergeCell ref="A1:I1"/>
    <mergeCell ref="A2:I2"/>
    <mergeCell ref="A3:G3"/>
    <mergeCell ref="H3:I3"/>
    <mergeCell ref="H4:I4"/>
    <mergeCell ref="A4:A5"/>
    <mergeCell ref="B4:C4"/>
    <mergeCell ref="D4:E4"/>
    <mergeCell ref="F4:G4"/>
  </mergeCells>
  <phoneticPr fontId="3" type="noConversion"/>
  <printOptions horizontalCentered="1"/>
  <pageMargins left="0.43307086614173229" right="0.47244094488188981" top="0.59055118110236227" bottom="0.5"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indexed="13"/>
  </sheetPr>
  <dimension ref="A1:J28"/>
  <sheetViews>
    <sheetView view="pageBreakPreview" zoomScale="75" zoomScaleNormal="90" zoomScaleSheetLayoutView="75" workbookViewId="0">
      <pane xSplit="1" ySplit="5" topLeftCell="B6"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5.75"/>
  <cols>
    <col min="1" max="1" width="10.125" style="62" customWidth="1"/>
    <col min="2" max="2" width="9.625" style="62" customWidth="1"/>
    <col min="3" max="3" width="10" style="62" customWidth="1"/>
    <col min="4" max="4" width="9.125" style="62" customWidth="1"/>
    <col min="5" max="5" width="10.625" style="62" customWidth="1"/>
    <col min="6" max="6" width="9.125" style="62" customWidth="1"/>
    <col min="7" max="7" width="10.375" style="62" customWidth="1"/>
    <col min="8" max="8" width="9.125" style="62" customWidth="1"/>
    <col min="9" max="9" width="11.5" style="62" customWidth="1"/>
    <col min="10" max="16384" width="9" style="62"/>
  </cols>
  <sheetData>
    <row r="1" spans="1:10" s="60" customFormat="1" ht="33" customHeight="1">
      <c r="A1" s="885" t="s">
        <v>334</v>
      </c>
      <c r="B1" s="885"/>
      <c r="C1" s="885"/>
      <c r="D1" s="885"/>
      <c r="E1" s="885"/>
      <c r="F1" s="885"/>
      <c r="G1" s="885"/>
      <c r="H1" s="885"/>
      <c r="I1" s="885"/>
    </row>
    <row r="2" spans="1:10" s="60" customFormat="1" ht="25.35" customHeight="1">
      <c r="A2" s="884" t="s">
        <v>214</v>
      </c>
      <c r="B2" s="884"/>
      <c r="C2" s="884"/>
      <c r="D2" s="884"/>
      <c r="E2" s="884"/>
      <c r="F2" s="884"/>
      <c r="G2" s="884"/>
      <c r="H2" s="884"/>
      <c r="I2" s="884"/>
    </row>
    <row r="3" spans="1:10" s="2" customFormat="1" ht="33" customHeight="1">
      <c r="A3" s="882" t="s">
        <v>416</v>
      </c>
      <c r="B3" s="882"/>
      <c r="C3" s="882"/>
      <c r="D3" s="882"/>
      <c r="E3" s="882"/>
      <c r="F3" s="882"/>
      <c r="G3" s="882"/>
      <c r="H3" s="883" t="s">
        <v>167</v>
      </c>
      <c r="I3" s="883"/>
    </row>
    <row r="4" spans="1:10" s="1" customFormat="1" ht="35.1" customHeight="1">
      <c r="A4" s="793" t="s">
        <v>48</v>
      </c>
      <c r="B4" s="812" t="s">
        <v>43</v>
      </c>
      <c r="C4" s="824"/>
      <c r="D4" s="812" t="s">
        <v>44</v>
      </c>
      <c r="E4" s="824"/>
      <c r="F4" s="812" t="s">
        <v>45</v>
      </c>
      <c r="G4" s="824"/>
      <c r="H4" s="812" t="s">
        <v>46</v>
      </c>
      <c r="I4" s="824"/>
    </row>
    <row r="5" spans="1:10" s="1" customFormat="1" ht="35.1" customHeight="1">
      <c r="A5" s="793"/>
      <c r="B5" s="98" t="s">
        <v>168</v>
      </c>
      <c r="C5" s="99" t="s">
        <v>94</v>
      </c>
      <c r="D5" s="98" t="s">
        <v>168</v>
      </c>
      <c r="E5" s="99" t="s">
        <v>94</v>
      </c>
      <c r="F5" s="98" t="s">
        <v>168</v>
      </c>
      <c r="G5" s="99" t="s">
        <v>94</v>
      </c>
      <c r="H5" s="98" t="s">
        <v>168</v>
      </c>
      <c r="I5" s="101" t="s">
        <v>94</v>
      </c>
      <c r="J5" s="61" t="s">
        <v>423</v>
      </c>
    </row>
    <row r="6" spans="1:10" s="1" customFormat="1" ht="60" hidden="1" customHeight="1">
      <c r="A6" s="58" t="s">
        <v>2</v>
      </c>
      <c r="B6" s="66">
        <v>92480</v>
      </c>
      <c r="C6" s="64">
        <v>67</v>
      </c>
      <c r="D6" s="66">
        <v>37593</v>
      </c>
      <c r="E6" s="67">
        <v>55.21</v>
      </c>
      <c r="F6" s="66">
        <v>45467</v>
      </c>
      <c r="G6" s="67">
        <v>54.08</v>
      </c>
      <c r="H6" s="66">
        <v>38930</v>
      </c>
      <c r="I6" s="67">
        <v>43.76</v>
      </c>
    </row>
    <row r="7" spans="1:10" s="1" customFormat="1" ht="60" customHeight="1">
      <c r="A7" s="58" t="s">
        <v>3</v>
      </c>
      <c r="B7" s="65">
        <v>92480</v>
      </c>
      <c r="C7" s="64">
        <v>66</v>
      </c>
      <c r="D7" s="66">
        <v>37895.862099999998</v>
      </c>
      <c r="E7" s="67">
        <v>55.164200000000001</v>
      </c>
      <c r="F7" s="66">
        <v>45470.144899999999</v>
      </c>
      <c r="G7" s="67">
        <v>53.923099999999998</v>
      </c>
      <c r="H7" s="66">
        <v>38727.515200000002</v>
      </c>
      <c r="I7" s="67">
        <v>44.037300000000002</v>
      </c>
      <c r="J7" s="143">
        <f>SUM(B7:I15)-SUM('[2]29平均俸額(月退)-OK'!$B$7:$I$15)</f>
        <v>0</v>
      </c>
    </row>
    <row r="8" spans="1:10" s="1" customFormat="1" ht="60" customHeight="1">
      <c r="A8" s="58" t="s">
        <v>4</v>
      </c>
      <c r="B8" s="66">
        <v>95250</v>
      </c>
      <c r="C8" s="64">
        <v>63</v>
      </c>
      <c r="D8" s="66">
        <v>38490.659099999997</v>
      </c>
      <c r="E8" s="67">
        <v>55.2012</v>
      </c>
      <c r="F8" s="66">
        <v>46625.325499999999</v>
      </c>
      <c r="G8" s="67">
        <v>53.940899999999999</v>
      </c>
      <c r="H8" s="66">
        <v>39189.626600000003</v>
      </c>
      <c r="I8" s="67">
        <v>43.648299999999999</v>
      </c>
    </row>
    <row r="9" spans="1:10" s="1" customFormat="1" ht="60" customHeight="1">
      <c r="A9" s="58" t="s">
        <v>5</v>
      </c>
      <c r="B9" s="66">
        <v>95250</v>
      </c>
      <c r="C9" s="64">
        <v>67.5</v>
      </c>
      <c r="D9" s="66">
        <v>38990.0216554379</v>
      </c>
      <c r="E9" s="67">
        <v>55.292685274302201</v>
      </c>
      <c r="F9" s="66">
        <v>47082.919522052398</v>
      </c>
      <c r="G9" s="67">
        <v>53.978738358812201</v>
      </c>
      <c r="H9" s="66">
        <v>38927.5214740925</v>
      </c>
      <c r="I9" s="67">
        <v>43.432252701579401</v>
      </c>
    </row>
    <row r="10" spans="1:10" s="1" customFormat="1" ht="60" customHeight="1">
      <c r="A10" s="58" t="s">
        <v>6</v>
      </c>
      <c r="B10" s="65">
        <v>0</v>
      </c>
      <c r="C10" s="64">
        <v>0</v>
      </c>
      <c r="D10" s="66">
        <v>38719.258172673901</v>
      </c>
      <c r="E10" s="67">
        <v>55.498009220452602</v>
      </c>
      <c r="F10" s="66">
        <v>47151.651072124798</v>
      </c>
      <c r="G10" s="67">
        <v>53.943469785574997</v>
      </c>
      <c r="H10" s="66">
        <v>38633.4910693575</v>
      </c>
      <c r="I10" s="67">
        <v>42.8513106007887</v>
      </c>
    </row>
    <row r="11" spans="1:10" s="1" customFormat="1" ht="60" customHeight="1">
      <c r="A11" s="58" t="s">
        <v>7</v>
      </c>
      <c r="B11" s="65">
        <v>95250</v>
      </c>
      <c r="C11" s="64">
        <v>69</v>
      </c>
      <c r="D11" s="66">
        <v>38863.872633390703</v>
      </c>
      <c r="E11" s="67">
        <v>55.8056153184165</v>
      </c>
      <c r="F11" s="66">
        <v>47252.4949310624</v>
      </c>
      <c r="G11" s="67">
        <v>53.978102189780998</v>
      </c>
      <c r="H11" s="66">
        <v>39419.810372771499</v>
      </c>
      <c r="I11" s="67">
        <v>43.430794165316001</v>
      </c>
    </row>
    <row r="12" spans="1:10" s="29" customFormat="1" ht="60" customHeight="1">
      <c r="A12" s="58" t="s">
        <v>11</v>
      </c>
      <c r="B12" s="66">
        <v>0</v>
      </c>
      <c r="C12" s="67">
        <v>0</v>
      </c>
      <c r="D12" s="66">
        <v>38793.548090399403</v>
      </c>
      <c r="E12" s="67">
        <v>55.890329362298502</v>
      </c>
      <c r="F12" s="66">
        <v>47423.2862583307</v>
      </c>
      <c r="G12" s="67">
        <v>53.971120279276398</v>
      </c>
      <c r="H12" s="66">
        <v>38123.794409613402</v>
      </c>
      <c r="I12" s="67">
        <v>42.971264367816097</v>
      </c>
    </row>
    <row r="13" spans="1:10" s="1" customFormat="1" ht="60" customHeight="1">
      <c r="A13" s="58" t="s">
        <v>215</v>
      </c>
      <c r="B13" s="66">
        <v>0</v>
      </c>
      <c r="C13" s="67">
        <v>0</v>
      </c>
      <c r="D13" s="66">
        <v>38757.544108037502</v>
      </c>
      <c r="E13" s="67">
        <v>56.840121977782601</v>
      </c>
      <c r="F13" s="66">
        <v>47505.436418359699</v>
      </c>
      <c r="G13" s="67">
        <v>53.931677953348398</v>
      </c>
      <c r="H13" s="66">
        <v>37731.767209011297</v>
      </c>
      <c r="I13" s="67">
        <v>42.399749687108901</v>
      </c>
    </row>
    <row r="14" spans="1:10" s="29" customFormat="1" ht="60" customHeight="1">
      <c r="A14" s="58" t="s">
        <v>100</v>
      </c>
      <c r="B14" s="66">
        <v>0</v>
      </c>
      <c r="C14" s="67">
        <v>0</v>
      </c>
      <c r="D14" s="66">
        <v>38728.279527559098</v>
      </c>
      <c r="E14" s="67">
        <v>57.596220472440898</v>
      </c>
      <c r="F14" s="66">
        <v>47642.177858439201</v>
      </c>
      <c r="G14" s="67">
        <v>54.278039927404699</v>
      </c>
      <c r="H14" s="66">
        <v>38437.3806682578</v>
      </c>
      <c r="I14" s="67">
        <v>42.7068416865553</v>
      </c>
    </row>
    <row r="15" spans="1:10" s="29" customFormat="1" ht="60" customHeight="1">
      <c r="A15" s="58" t="s">
        <v>200</v>
      </c>
      <c r="B15" s="66">
        <v>0</v>
      </c>
      <c r="C15" s="67">
        <v>0</v>
      </c>
      <c r="D15" s="66">
        <v>40502.690170198002</v>
      </c>
      <c r="E15" s="67">
        <v>57.889023966655103</v>
      </c>
      <c r="F15" s="66">
        <v>49223.771600300497</v>
      </c>
      <c r="G15" s="67">
        <v>54.518407212622101</v>
      </c>
      <c r="H15" s="66">
        <v>37858.2575107296</v>
      </c>
      <c r="I15" s="67">
        <v>42.581974248926997</v>
      </c>
    </row>
    <row r="16" spans="1:10" s="1" customFormat="1" ht="60" customHeight="1">
      <c r="A16" s="97" t="s">
        <v>396</v>
      </c>
      <c r="B16" s="68">
        <v>0</v>
      </c>
      <c r="C16" s="76">
        <v>0</v>
      </c>
      <c r="D16" s="34">
        <v>40008.988109048703</v>
      </c>
      <c r="E16" s="45">
        <v>57.890516241299302</v>
      </c>
      <c r="F16" s="34">
        <v>48830.777806451602</v>
      </c>
      <c r="G16" s="45">
        <v>55.203096774193497</v>
      </c>
      <c r="H16" s="34">
        <v>36886.473449131503</v>
      </c>
      <c r="I16" s="45">
        <v>42.646153846153801</v>
      </c>
    </row>
    <row r="17" spans="1:9">
      <c r="A17" s="12" t="s">
        <v>169</v>
      </c>
      <c r="B17" s="61"/>
      <c r="C17" s="61"/>
      <c r="D17" s="61"/>
      <c r="E17" s="61"/>
      <c r="F17" s="61"/>
      <c r="G17" s="61"/>
      <c r="H17" s="61"/>
      <c r="I17" s="61"/>
    </row>
    <row r="18" spans="1:9">
      <c r="A18" s="61" t="s">
        <v>359</v>
      </c>
      <c r="B18" s="120">
        <f>SUM(B6:I14)-SUM('[1]29平均俸額(月退)'!$B$7:$I$15)</f>
        <v>0</v>
      </c>
      <c r="C18" s="61"/>
      <c r="D18" s="61"/>
      <c r="E18" s="61"/>
      <c r="F18" s="61"/>
      <c r="G18" s="61"/>
      <c r="H18" s="61"/>
      <c r="I18" s="61"/>
    </row>
    <row r="19" spans="1:9">
      <c r="A19" s="61"/>
      <c r="B19" s="61"/>
      <c r="C19" s="61"/>
      <c r="D19" s="61"/>
      <c r="E19" s="61"/>
      <c r="F19" s="61"/>
      <c r="G19" s="61"/>
      <c r="H19" s="61"/>
      <c r="I19" s="61"/>
    </row>
    <row r="20" spans="1:9">
      <c r="A20" s="61"/>
      <c r="B20" s="61"/>
      <c r="C20" s="61"/>
      <c r="D20" s="61"/>
      <c r="E20" s="61"/>
      <c r="F20" s="61"/>
      <c r="G20" s="61"/>
      <c r="H20" s="61"/>
      <c r="I20" s="61"/>
    </row>
    <row r="28" spans="1:9">
      <c r="B28" s="142"/>
      <c r="C28" s="142"/>
    </row>
  </sheetData>
  <mergeCells count="9">
    <mergeCell ref="A1:I1"/>
    <mergeCell ref="A2:I2"/>
    <mergeCell ref="A3:G3"/>
    <mergeCell ref="H3:I3"/>
    <mergeCell ref="H4:I4"/>
    <mergeCell ref="A4:A5"/>
    <mergeCell ref="B4:C4"/>
    <mergeCell ref="D4:E4"/>
    <mergeCell ref="F4:G4"/>
  </mergeCells>
  <phoneticPr fontId="3" type="noConversion"/>
  <printOptions horizontalCentered="1"/>
  <pageMargins left="0.43307086614173229" right="0.59055118110236227" top="0.59055118110236227" bottom="0.52"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sheetPr>
    <tabColor indexed="13"/>
    <pageSetUpPr fitToPage="1"/>
  </sheetPr>
  <dimension ref="A1:I167"/>
  <sheetViews>
    <sheetView view="pageBreakPreview" zoomScale="90" zoomScaleNormal="85" zoomScaleSheetLayoutView="90" workbookViewId="0">
      <pane xSplit="1" ySplit="5" topLeftCell="B6"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8.875" style="26" customWidth="1"/>
    <col min="2" max="2" width="11.875" style="1" customWidth="1"/>
    <col min="3" max="3" width="13.125" style="1" customWidth="1"/>
    <col min="4" max="4" width="18" style="1" bestFit="1" customWidth="1"/>
    <col min="5" max="5" width="14.5" style="1" bestFit="1" customWidth="1"/>
    <col min="6" max="6" width="20.5" style="1" bestFit="1" customWidth="1"/>
    <col min="7" max="7" width="11.5" style="1" customWidth="1"/>
    <col min="8" max="8" width="9.5" style="1" bestFit="1" customWidth="1"/>
    <col min="9" max="16384" width="8.125" style="1"/>
  </cols>
  <sheetData>
    <row r="1" spans="1:9" ht="30.95" customHeight="1">
      <c r="A1" s="813" t="s">
        <v>366</v>
      </c>
      <c r="B1" s="813"/>
      <c r="C1" s="813"/>
      <c r="D1" s="813"/>
      <c r="E1" s="813"/>
      <c r="F1" s="813"/>
      <c r="G1" s="813"/>
    </row>
    <row r="2" spans="1:9" s="60" customFormat="1" ht="25.35" customHeight="1">
      <c r="A2" s="884" t="s">
        <v>170</v>
      </c>
      <c r="B2" s="884"/>
      <c r="C2" s="884"/>
      <c r="D2" s="884"/>
      <c r="E2" s="884"/>
      <c r="F2" s="884"/>
      <c r="G2" s="884"/>
      <c r="H2" s="884"/>
      <c r="I2" s="884"/>
    </row>
    <row r="3" spans="1:9" s="2" customFormat="1" ht="30.95" customHeight="1">
      <c r="A3" s="799" t="s">
        <v>417</v>
      </c>
      <c r="B3" s="799"/>
      <c r="C3" s="799"/>
      <c r="D3" s="799"/>
      <c r="E3" s="799"/>
      <c r="F3" s="799"/>
      <c r="G3" s="115" t="s">
        <v>47</v>
      </c>
    </row>
    <row r="4" spans="1:9" s="2" customFormat="1" ht="34.35" customHeight="1">
      <c r="A4" s="782" t="s">
        <v>48</v>
      </c>
      <c r="B4" s="859" t="s">
        <v>171</v>
      </c>
      <c r="C4" s="860" t="s">
        <v>80</v>
      </c>
      <c r="D4" s="860"/>
      <c r="E4" s="860"/>
      <c r="F4" s="860"/>
      <c r="G4" s="783" t="s">
        <v>101</v>
      </c>
      <c r="H4" s="3"/>
    </row>
    <row r="5" spans="1:9" s="2" customFormat="1" ht="34.35" customHeight="1">
      <c r="A5" s="782"/>
      <c r="B5" s="859"/>
      <c r="C5" s="112" t="s">
        <v>172</v>
      </c>
      <c r="D5" s="111" t="s">
        <v>173</v>
      </c>
      <c r="E5" s="111" t="s">
        <v>174</v>
      </c>
      <c r="F5" s="111" t="s">
        <v>175</v>
      </c>
      <c r="G5" s="783"/>
      <c r="H5" s="61" t="s">
        <v>423</v>
      </c>
    </row>
    <row r="6" spans="1:9" ht="60" hidden="1" customHeight="1">
      <c r="A6" s="58" t="s">
        <v>2</v>
      </c>
      <c r="B6" s="70">
        <v>49.22</v>
      </c>
      <c r="C6" s="70">
        <v>49.25</v>
      </c>
      <c r="D6" s="70">
        <v>31.14</v>
      </c>
      <c r="E6" s="70">
        <v>52.62</v>
      </c>
      <c r="F6" s="70">
        <v>58.62</v>
      </c>
      <c r="G6" s="70">
        <v>43.18</v>
      </c>
    </row>
    <row r="7" spans="1:9" ht="60" customHeight="1">
      <c r="A7" s="58" t="s">
        <v>3</v>
      </c>
      <c r="B7" s="70">
        <v>47.482145418976202</v>
      </c>
      <c r="C7" s="70">
        <v>47.496191099476441</v>
      </c>
      <c r="D7" s="70">
        <v>28.1172</v>
      </c>
      <c r="E7" s="70">
        <v>52.468899999999998</v>
      </c>
      <c r="F7" s="70">
        <v>59.505000000000003</v>
      </c>
      <c r="G7" s="70">
        <v>43.584400000000002</v>
      </c>
      <c r="H7" s="41">
        <f>SUM(B7:G15)-SUM('[2]30退休平均年齡-OK'!$B$7:$G$15)</f>
        <v>0</v>
      </c>
    </row>
    <row r="8" spans="1:9" ht="60" customHeight="1">
      <c r="A8" s="58" t="s">
        <v>4</v>
      </c>
      <c r="B8" s="70">
        <v>43.558211521926054</v>
      </c>
      <c r="C8" s="70">
        <v>43.558251757893288</v>
      </c>
      <c r="D8" s="70">
        <v>25.812200000000001</v>
      </c>
      <c r="E8" s="70">
        <v>52.756399999999999</v>
      </c>
      <c r="F8" s="70">
        <v>60.254100000000001</v>
      </c>
      <c r="G8" s="70">
        <v>43.539700000000003</v>
      </c>
    </row>
    <row r="9" spans="1:9" ht="60" customHeight="1">
      <c r="A9" s="58" t="s">
        <v>5</v>
      </c>
      <c r="B9" s="70">
        <v>42.769983115104019</v>
      </c>
      <c r="C9" s="70">
        <v>42.765240983083309</v>
      </c>
      <c r="D9" s="70">
        <v>25.886664375322219</v>
      </c>
      <c r="E9" s="70">
        <v>52.694105015593841</v>
      </c>
      <c r="F9" s="70">
        <v>59.563909774436091</v>
      </c>
      <c r="G9" s="70">
        <v>45.288135593220339</v>
      </c>
    </row>
    <row r="10" spans="1:9" ht="60" customHeight="1">
      <c r="A10" s="58" t="s">
        <v>176</v>
      </c>
      <c r="B10" s="69">
        <v>41.694510962525271</v>
      </c>
      <c r="C10" s="70">
        <v>41.686610396486749</v>
      </c>
      <c r="D10" s="70">
        <v>26.466773357719859</v>
      </c>
      <c r="E10" s="70">
        <v>52.161286903058247</v>
      </c>
      <c r="F10" s="70">
        <v>59.389830508474574</v>
      </c>
      <c r="G10" s="70">
        <v>46.979166666666664</v>
      </c>
    </row>
    <row r="11" spans="1:9" ht="60" customHeight="1">
      <c r="A11" s="58" t="s">
        <v>7</v>
      </c>
      <c r="B11" s="69">
        <v>43.753976474069688</v>
      </c>
      <c r="C11" s="70">
        <v>43.750574286772881</v>
      </c>
      <c r="D11" s="70">
        <v>27.050852713178294</v>
      </c>
      <c r="E11" s="70">
        <v>53.045272272912186</v>
      </c>
      <c r="F11" s="70">
        <v>58.898148148148145</v>
      </c>
      <c r="G11" s="70">
        <v>45.840909090909093</v>
      </c>
    </row>
    <row r="12" spans="1:9" s="29" customFormat="1" ht="60" customHeight="1">
      <c r="A12" s="58" t="s">
        <v>55</v>
      </c>
      <c r="B12" s="69">
        <v>46.98041752631395</v>
      </c>
      <c r="C12" s="70">
        <v>46.98041752631395</v>
      </c>
      <c r="D12" s="70">
        <v>28.368721461187214</v>
      </c>
      <c r="E12" s="70">
        <v>53.004477611940295</v>
      </c>
      <c r="F12" s="70">
        <v>58.943396226415096</v>
      </c>
      <c r="G12" s="70">
        <v>47.139534883720927</v>
      </c>
    </row>
    <row r="13" spans="1:9" s="29" customFormat="1" ht="60" customHeight="1">
      <c r="A13" s="58" t="s">
        <v>99</v>
      </c>
      <c r="B13" s="69">
        <v>46.228564115689785</v>
      </c>
      <c r="C13" s="70">
        <v>46.229893055962499</v>
      </c>
      <c r="D13" s="70">
        <v>28.413793103448278</v>
      </c>
      <c r="E13" s="70">
        <v>52.926583177001469</v>
      </c>
      <c r="F13" s="70">
        <v>58.565656565656568</v>
      </c>
      <c r="G13" s="70">
        <v>45.422222222222224</v>
      </c>
    </row>
    <row r="14" spans="1:9" s="29" customFormat="1" ht="60" customHeight="1">
      <c r="A14" s="58" t="s">
        <v>98</v>
      </c>
      <c r="B14" s="69">
        <v>44.142152870064734</v>
      </c>
      <c r="C14" s="70">
        <v>44.136142973750914</v>
      </c>
      <c r="D14" s="70">
        <v>28.662697966977422</v>
      </c>
      <c r="E14" s="70">
        <v>53.704637802998455</v>
      </c>
      <c r="F14" s="70">
        <v>55.93</v>
      </c>
      <c r="G14" s="70">
        <v>46.94</v>
      </c>
    </row>
    <row r="15" spans="1:9" s="29" customFormat="1" ht="60" customHeight="1">
      <c r="A15" s="58" t="s">
        <v>189</v>
      </c>
      <c r="B15" s="69">
        <v>42.400144682903303</v>
      </c>
      <c r="C15" s="70">
        <v>42.395973154362416</v>
      </c>
      <c r="D15" s="70">
        <v>28.324451250638081</v>
      </c>
      <c r="E15" s="70">
        <v>55.025062194784851</v>
      </c>
      <c r="F15" s="70">
        <v>54.571428571428569</v>
      </c>
      <c r="G15" s="70">
        <v>46</v>
      </c>
    </row>
    <row r="16" spans="1:9" ht="60" customHeight="1">
      <c r="A16" s="97" t="s">
        <v>367</v>
      </c>
      <c r="B16" s="72">
        <v>42.753022376577128</v>
      </c>
      <c r="C16" s="72">
        <v>42.750791974656813</v>
      </c>
      <c r="D16" s="72">
        <v>27.417320458660228</v>
      </c>
      <c r="E16" s="72">
        <v>54.668579965403367</v>
      </c>
      <c r="F16" s="72">
        <v>55.617647058823529</v>
      </c>
      <c r="G16" s="72">
        <v>45.421052631578945</v>
      </c>
    </row>
    <row r="17" spans="1:7" ht="17.100000000000001" customHeight="1">
      <c r="A17" s="12" t="s">
        <v>169</v>
      </c>
      <c r="B17" s="12"/>
      <c r="C17" s="12"/>
      <c r="D17" s="12"/>
      <c r="E17" s="12"/>
      <c r="F17" s="12"/>
      <c r="G17" s="12"/>
    </row>
    <row r="18" spans="1:7" ht="17.100000000000001" customHeight="1">
      <c r="A18" s="12"/>
      <c r="B18" s="13"/>
      <c r="C18" s="13"/>
      <c r="D18" s="13"/>
      <c r="E18" s="13"/>
      <c r="F18" s="13"/>
      <c r="G18" s="13"/>
    </row>
    <row r="19" spans="1:7" ht="16.5">
      <c r="B19" s="41">
        <f>B16-'13當年退休-性別'!B53</f>
        <v>3.0223765771282274E-3</v>
      </c>
      <c r="C19" s="41">
        <f>C16-'13當年退休-性別'!C53</f>
        <v>7.9197465681346557E-4</v>
      </c>
      <c r="D19" s="41">
        <f>D16-'13當年退休-性別'!D53</f>
        <v>-2.6795413397735501E-3</v>
      </c>
      <c r="E19" s="41">
        <f>E16-'13當年退休-性別'!E53</f>
        <v>-1.420034596634423E-3</v>
      </c>
      <c r="F19" s="41">
        <f>F16-'13當年退休-性別'!F53</f>
        <v>-2.3529411764684482E-3</v>
      </c>
      <c r="G19" s="41">
        <f>G16-'13當年退休-性別'!G53</f>
        <v>1.0526315789434193E-3</v>
      </c>
    </row>
    <row r="20" spans="1:7" ht="16.5">
      <c r="A20" s="61" t="s">
        <v>359</v>
      </c>
      <c r="B20" s="41">
        <f>SUM(B6:G14)-SUM('[1]30退休平均年齡'!$B$7:$G$15)</f>
        <v>0</v>
      </c>
    </row>
    <row r="21" spans="1:7" ht="32.25" customHeight="1"/>
    <row r="22" spans="1:7" ht="32.25" customHeight="1"/>
    <row r="23" spans="1:7" ht="32.25" customHeight="1"/>
    <row r="24" spans="1:7" ht="32.25" customHeight="1"/>
    <row r="25" spans="1:7" ht="32.25" customHeight="1"/>
    <row r="26" spans="1:7" ht="32.25" customHeight="1"/>
    <row r="27" spans="1:7" ht="32.25" customHeight="1"/>
    <row r="28" spans="1:7" ht="32.25" customHeight="1">
      <c r="B28" s="140"/>
      <c r="C28" s="140"/>
    </row>
    <row r="29" spans="1:7" ht="32.25" customHeight="1"/>
    <row r="30" spans="1:7" ht="32.25" customHeight="1"/>
    <row r="31" spans="1:7" ht="32.25" customHeight="1"/>
    <row r="32" spans="1:7"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7">
    <mergeCell ref="A1:G1"/>
    <mergeCell ref="A2:I2"/>
    <mergeCell ref="A3:F3"/>
    <mergeCell ref="A4:A5"/>
    <mergeCell ref="B4:B5"/>
    <mergeCell ref="C4:F4"/>
    <mergeCell ref="G4:G5"/>
  </mergeCells>
  <phoneticPr fontId="3" type="noConversion"/>
  <pageMargins left="0.38" right="0.32" top="0.51181102362204722" bottom="0.47244094488188981" header="0" footer="0"/>
  <pageSetup paperSize="9" scale="97" orientation="portrait" r:id="rId1"/>
  <headerFooter alignWithMargins="0"/>
</worksheet>
</file>

<file path=xl/worksheets/sheet33.xml><?xml version="1.0" encoding="utf-8"?>
<worksheet xmlns="http://schemas.openxmlformats.org/spreadsheetml/2006/main" xmlns:r="http://schemas.openxmlformats.org/officeDocument/2006/relationships">
  <sheetPr>
    <tabColor indexed="13"/>
  </sheetPr>
  <dimension ref="A1:Q168"/>
  <sheetViews>
    <sheetView view="pageBreakPreview" zoomScale="75" zoomScaleNormal="90" zoomScaleSheetLayoutView="75"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4.625" style="26" customWidth="1"/>
    <col min="2" max="2" width="16.625" style="1" customWidth="1"/>
    <col min="3" max="5" width="18.375" style="1" customWidth="1"/>
    <col min="6" max="16384" width="8.125" style="1"/>
  </cols>
  <sheetData>
    <row r="1" spans="1:17" ht="33" customHeight="1">
      <c r="A1" s="778" t="s">
        <v>177</v>
      </c>
      <c r="B1" s="778"/>
      <c r="C1" s="778"/>
      <c r="D1" s="778"/>
      <c r="E1" s="778"/>
    </row>
    <row r="2" spans="1:17" s="2" customFormat="1" ht="33" customHeight="1">
      <c r="A2" s="792" t="s">
        <v>418</v>
      </c>
      <c r="B2" s="886"/>
      <c r="C2" s="886"/>
      <c r="D2" s="886"/>
      <c r="E2" s="115" t="s">
        <v>47</v>
      </c>
    </row>
    <row r="3" spans="1:17" s="2" customFormat="1" ht="36" customHeight="1">
      <c r="A3" s="793" t="s">
        <v>48</v>
      </c>
      <c r="B3" s="819" t="s">
        <v>171</v>
      </c>
      <c r="C3" s="812" t="s">
        <v>82</v>
      </c>
      <c r="D3" s="824"/>
      <c r="E3" s="824"/>
      <c r="F3" s="3"/>
    </row>
    <row r="4" spans="1:17" s="2" customFormat="1" ht="36" customHeight="1">
      <c r="A4" s="793"/>
      <c r="B4" s="887"/>
      <c r="C4" s="100" t="s">
        <v>69</v>
      </c>
      <c r="D4" s="99" t="s">
        <v>70</v>
      </c>
      <c r="E4" s="101" t="s">
        <v>95</v>
      </c>
      <c r="F4" s="61" t="s">
        <v>423</v>
      </c>
    </row>
    <row r="5" spans="1:17" ht="61.35" hidden="1" customHeight="1">
      <c r="A5" s="114" t="s">
        <v>2</v>
      </c>
      <c r="B5" s="70">
        <v>59.67</v>
      </c>
      <c r="C5" s="70">
        <v>45</v>
      </c>
      <c r="D5" s="70">
        <v>67</v>
      </c>
      <c r="E5" s="70">
        <v>0</v>
      </c>
      <c r="F5" s="29"/>
      <c r="G5" s="29"/>
      <c r="H5" s="29"/>
      <c r="I5" s="29"/>
      <c r="J5" s="29"/>
      <c r="K5" s="29"/>
      <c r="L5" s="29"/>
      <c r="M5" s="29"/>
      <c r="N5" s="29"/>
      <c r="O5" s="29"/>
      <c r="P5" s="29"/>
      <c r="Q5" s="29"/>
    </row>
    <row r="6" spans="1:17" ht="61.35" customHeight="1">
      <c r="A6" s="114" t="s">
        <v>3</v>
      </c>
      <c r="B6" s="70">
        <v>55</v>
      </c>
      <c r="C6" s="70">
        <v>44</v>
      </c>
      <c r="D6" s="70">
        <v>0</v>
      </c>
      <c r="E6" s="70">
        <v>66</v>
      </c>
      <c r="F6" s="73">
        <f>SUM(B6:E14)-SUM('[2]31平均年齡(政)-OK'!$B$6:$E$14)</f>
        <v>0</v>
      </c>
      <c r="G6" s="29"/>
      <c r="H6" s="29"/>
      <c r="I6" s="29"/>
      <c r="J6" s="29"/>
      <c r="K6" s="29"/>
      <c r="L6" s="29"/>
      <c r="M6" s="29"/>
      <c r="N6" s="29"/>
      <c r="O6" s="29"/>
      <c r="P6" s="29"/>
      <c r="Q6" s="29"/>
    </row>
    <row r="7" spans="1:17" ht="61.35" customHeight="1">
      <c r="A7" s="114" t="s">
        <v>4</v>
      </c>
      <c r="B7" s="70">
        <v>63</v>
      </c>
      <c r="C7" s="70">
        <v>0</v>
      </c>
      <c r="D7" s="70">
        <v>55</v>
      </c>
      <c r="E7" s="70">
        <v>67</v>
      </c>
      <c r="F7" s="29"/>
      <c r="G7" s="29"/>
      <c r="H7" s="29"/>
      <c r="I7" s="29"/>
      <c r="J7" s="29"/>
      <c r="K7" s="29"/>
      <c r="L7" s="29"/>
      <c r="M7" s="29"/>
      <c r="N7" s="29"/>
      <c r="O7" s="29"/>
      <c r="P7" s="29"/>
      <c r="Q7" s="29"/>
    </row>
    <row r="8" spans="1:17" ht="61.35" customHeight="1">
      <c r="A8" s="114" t="s">
        <v>5</v>
      </c>
      <c r="B8" s="70">
        <v>67.5</v>
      </c>
      <c r="C8" s="70">
        <v>0</v>
      </c>
      <c r="D8" s="70">
        <v>66</v>
      </c>
      <c r="E8" s="70">
        <v>69</v>
      </c>
      <c r="F8" s="29"/>
      <c r="G8" s="29"/>
      <c r="H8" s="29"/>
      <c r="I8" s="29"/>
      <c r="J8" s="29"/>
      <c r="K8" s="29"/>
      <c r="L8" s="29"/>
      <c r="M8" s="29"/>
      <c r="N8" s="29"/>
      <c r="O8" s="29"/>
      <c r="P8" s="29"/>
      <c r="Q8" s="29"/>
    </row>
    <row r="9" spans="1:17" ht="61.35" customHeight="1">
      <c r="A9" s="114" t="s">
        <v>6</v>
      </c>
      <c r="B9" s="70">
        <v>0</v>
      </c>
      <c r="C9" s="70">
        <v>0</v>
      </c>
      <c r="D9" s="70">
        <v>0</v>
      </c>
      <c r="E9" s="70">
        <v>0</v>
      </c>
      <c r="F9" s="29"/>
      <c r="G9" s="29"/>
      <c r="H9" s="29"/>
      <c r="I9" s="29"/>
      <c r="J9" s="29"/>
      <c r="K9" s="29"/>
      <c r="L9" s="29"/>
      <c r="M9" s="29"/>
      <c r="N9" s="29"/>
      <c r="O9" s="29"/>
      <c r="P9" s="29"/>
      <c r="Q9" s="29"/>
    </row>
    <row r="10" spans="1:17" ht="61.35" customHeight="1">
      <c r="A10" s="114" t="s">
        <v>7</v>
      </c>
      <c r="B10" s="70">
        <v>69</v>
      </c>
      <c r="C10" s="70">
        <v>0</v>
      </c>
      <c r="D10" s="70">
        <v>69</v>
      </c>
      <c r="E10" s="70">
        <v>0</v>
      </c>
      <c r="F10" s="29"/>
      <c r="G10" s="29"/>
      <c r="H10" s="29"/>
      <c r="I10" s="29"/>
      <c r="J10" s="29"/>
      <c r="K10" s="29"/>
      <c r="L10" s="29"/>
      <c r="M10" s="29"/>
      <c r="N10" s="29"/>
      <c r="O10" s="29"/>
      <c r="P10" s="29"/>
      <c r="Q10" s="29"/>
    </row>
    <row r="11" spans="1:17" ht="61.35" customHeight="1">
      <c r="A11" s="114" t="s">
        <v>55</v>
      </c>
      <c r="B11" s="70">
        <v>0</v>
      </c>
      <c r="C11" s="70">
        <v>0</v>
      </c>
      <c r="D11" s="70">
        <v>0</v>
      </c>
      <c r="E11" s="70">
        <v>0</v>
      </c>
      <c r="F11" s="29"/>
      <c r="G11" s="29"/>
      <c r="H11" s="29"/>
      <c r="I11" s="29"/>
      <c r="J11" s="29"/>
      <c r="K11" s="29"/>
      <c r="L11" s="29"/>
      <c r="M11" s="29"/>
      <c r="N11" s="29"/>
      <c r="O11" s="29"/>
      <c r="P11" s="29"/>
      <c r="Q11" s="29"/>
    </row>
    <row r="12" spans="1:17" ht="61.35" customHeight="1">
      <c r="A12" s="114" t="s">
        <v>99</v>
      </c>
      <c r="B12" s="70">
        <v>0</v>
      </c>
      <c r="C12" s="70">
        <v>0</v>
      </c>
      <c r="D12" s="70">
        <v>0</v>
      </c>
      <c r="E12" s="70">
        <v>0</v>
      </c>
      <c r="F12" s="29"/>
      <c r="G12" s="29"/>
      <c r="H12" s="29"/>
      <c r="I12" s="29"/>
      <c r="J12" s="29"/>
      <c r="K12" s="29"/>
      <c r="L12" s="29"/>
      <c r="M12" s="29"/>
      <c r="N12" s="29"/>
      <c r="O12" s="29"/>
      <c r="P12" s="29"/>
      <c r="Q12" s="29"/>
    </row>
    <row r="13" spans="1:17" ht="61.35" customHeight="1">
      <c r="A13" s="114" t="s">
        <v>188</v>
      </c>
      <c r="B13" s="70">
        <v>0</v>
      </c>
      <c r="C13" s="70">
        <v>0</v>
      </c>
      <c r="D13" s="70">
        <v>0</v>
      </c>
      <c r="E13" s="70">
        <v>0</v>
      </c>
      <c r="F13" s="29"/>
      <c r="G13" s="29"/>
      <c r="H13" s="29"/>
      <c r="I13" s="29"/>
      <c r="J13" s="29"/>
      <c r="K13" s="29"/>
      <c r="L13" s="29"/>
      <c r="M13" s="29"/>
      <c r="N13" s="29"/>
      <c r="O13" s="29"/>
      <c r="P13" s="29"/>
      <c r="Q13" s="29"/>
    </row>
    <row r="14" spans="1:17" ht="61.35" customHeight="1">
      <c r="A14" s="114" t="s">
        <v>189</v>
      </c>
      <c r="B14" s="70">
        <v>79</v>
      </c>
      <c r="C14" s="70">
        <v>79</v>
      </c>
      <c r="D14" s="70">
        <v>0</v>
      </c>
      <c r="E14" s="70">
        <v>0</v>
      </c>
      <c r="F14" s="29"/>
      <c r="G14" s="29"/>
      <c r="H14" s="29"/>
      <c r="I14" s="29"/>
      <c r="J14" s="29"/>
      <c r="K14" s="29"/>
      <c r="L14" s="29"/>
      <c r="M14" s="29"/>
      <c r="N14" s="29"/>
      <c r="O14" s="29"/>
      <c r="P14" s="29"/>
      <c r="Q14" s="29"/>
    </row>
    <row r="15" spans="1:17" ht="61.35" customHeight="1">
      <c r="A15" s="103" t="s">
        <v>367</v>
      </c>
      <c r="B15" s="70">
        <v>0</v>
      </c>
      <c r="C15" s="70">
        <v>0</v>
      </c>
      <c r="D15" s="70">
        <v>0</v>
      </c>
      <c r="E15" s="70">
        <v>0</v>
      </c>
      <c r="F15" s="29"/>
      <c r="G15" s="29"/>
      <c r="H15" s="29"/>
      <c r="I15" s="29"/>
      <c r="J15" s="29"/>
      <c r="K15" s="29"/>
      <c r="L15" s="29"/>
      <c r="M15" s="29"/>
      <c r="N15" s="29"/>
      <c r="O15" s="29"/>
      <c r="P15" s="29"/>
      <c r="Q15" s="29"/>
    </row>
    <row r="16" spans="1:17" s="29" customFormat="1" ht="20.100000000000001" customHeight="1">
      <c r="A16" s="106" t="s">
        <v>105</v>
      </c>
      <c r="B16" s="110"/>
      <c r="C16" s="110"/>
      <c r="D16" s="110"/>
      <c r="E16" s="110"/>
      <c r="F16" s="106"/>
      <c r="G16" s="106"/>
      <c r="H16" s="106"/>
      <c r="I16" s="106"/>
      <c r="J16" s="106"/>
      <c r="K16" s="106"/>
      <c r="L16" s="106"/>
      <c r="M16" s="106"/>
      <c r="N16" s="106"/>
      <c r="O16" s="106"/>
      <c r="P16" s="106"/>
      <c r="Q16" s="106"/>
    </row>
    <row r="17" spans="1:17" ht="20.100000000000001" customHeight="1">
      <c r="A17" s="106"/>
      <c r="B17" s="121">
        <f>B15-'14退休(政)-性別'!B29</f>
        <v>0</v>
      </c>
      <c r="C17" s="121">
        <f>C15-'14退休(政)-性別'!C29</f>
        <v>0</v>
      </c>
      <c r="D17" s="121">
        <f>D15-'14退休(政)-性別'!D29</f>
        <v>0</v>
      </c>
      <c r="E17" s="121">
        <f>E15-'14退休(政)-性別'!E29</f>
        <v>0</v>
      </c>
      <c r="F17" s="106"/>
      <c r="G17" s="106"/>
      <c r="H17" s="106"/>
      <c r="I17" s="106"/>
      <c r="J17" s="106"/>
      <c r="K17" s="106"/>
      <c r="L17" s="106"/>
      <c r="M17" s="106"/>
      <c r="N17" s="106"/>
      <c r="O17" s="106"/>
      <c r="P17" s="106"/>
      <c r="Q17" s="106"/>
    </row>
    <row r="18" spans="1:17" ht="20.100000000000001" customHeight="1">
      <c r="A18" s="61" t="s">
        <v>359</v>
      </c>
      <c r="B18" s="74">
        <f>SUM(B5:E13)-SUM('[1]31平均年齡(政) '!$B$6:$E$14)</f>
        <v>0</v>
      </c>
      <c r="C18" s="12"/>
      <c r="D18" s="12"/>
      <c r="E18" s="12"/>
    </row>
    <row r="19" spans="1:17" ht="32.25" customHeight="1"/>
    <row r="20" spans="1:17" ht="32.25" customHeight="1"/>
    <row r="21" spans="1:17" ht="32.25" customHeight="1"/>
    <row r="22" spans="1:17" ht="32.25" customHeight="1"/>
    <row r="23" spans="1:17" ht="32.25" customHeight="1"/>
    <row r="24" spans="1:17" ht="32.25" customHeight="1"/>
    <row r="25" spans="1:17" ht="32.25" customHeight="1"/>
    <row r="26" spans="1:17" ht="32.25" customHeight="1"/>
    <row r="27" spans="1:17" ht="32.25" customHeight="1"/>
    <row r="28" spans="1:17" ht="32.25" customHeight="1">
      <c r="B28" s="140"/>
      <c r="C28" s="140"/>
    </row>
    <row r="29" spans="1:17" ht="32.25" customHeight="1"/>
    <row r="30" spans="1:17" ht="32.25" customHeight="1"/>
    <row r="31" spans="1:17" ht="32.25" customHeight="1"/>
    <row r="32" spans="1:17"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sheetData>
  <mergeCells count="5">
    <mergeCell ref="A1:E1"/>
    <mergeCell ref="A2:D2"/>
    <mergeCell ref="A3:A4"/>
    <mergeCell ref="B3:B4"/>
    <mergeCell ref="C3:E3"/>
  </mergeCells>
  <phoneticPr fontId="3" type="noConversion"/>
  <pageMargins left="0.62992125984251968" right="0" top="0.59055118110236227" bottom="0.47" header="0" footer="0"/>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sheetPr>
    <tabColor indexed="13"/>
  </sheetPr>
  <dimension ref="A1:S168"/>
  <sheetViews>
    <sheetView view="pageBreakPreview" zoomScale="75" zoomScaleNormal="100" zoomScaleSheetLayoutView="75"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2" style="26" customWidth="1"/>
    <col min="2" max="2" width="13.375" style="1" customWidth="1"/>
    <col min="3" max="3" width="13.875" style="1" customWidth="1"/>
    <col min="4" max="5" width="12.875" style="1" customWidth="1"/>
    <col min="6" max="6" width="15.125" style="1" customWidth="1"/>
    <col min="7" max="7" width="11.375" style="1" customWidth="1"/>
    <col min="8" max="16384" width="8.125" style="1"/>
  </cols>
  <sheetData>
    <row r="1" spans="1:19" ht="33" customHeight="1">
      <c r="A1" s="778" t="s">
        <v>178</v>
      </c>
      <c r="B1" s="778"/>
      <c r="C1" s="778"/>
      <c r="D1" s="778"/>
      <c r="E1" s="778"/>
      <c r="F1" s="778"/>
      <c r="G1" s="778"/>
    </row>
    <row r="2" spans="1:19" s="2" customFormat="1" ht="33" customHeight="1">
      <c r="A2" s="799" t="s">
        <v>419</v>
      </c>
      <c r="B2" s="799"/>
      <c r="C2" s="799"/>
      <c r="D2" s="799"/>
      <c r="E2" s="799"/>
      <c r="F2" s="799"/>
      <c r="G2" s="115" t="s">
        <v>179</v>
      </c>
    </row>
    <row r="3" spans="1:19" s="2" customFormat="1" ht="36" customHeight="1">
      <c r="A3" s="793" t="s">
        <v>48</v>
      </c>
      <c r="B3" s="794" t="s">
        <v>171</v>
      </c>
      <c r="C3" s="795" t="s">
        <v>66</v>
      </c>
      <c r="D3" s="795"/>
      <c r="E3" s="795"/>
      <c r="F3" s="795"/>
      <c r="G3" s="796" t="s">
        <v>101</v>
      </c>
      <c r="H3" s="3"/>
    </row>
    <row r="4" spans="1:19" s="2" customFormat="1" ht="36" customHeight="1">
      <c r="A4" s="793"/>
      <c r="B4" s="794"/>
      <c r="C4" s="100" t="s">
        <v>172</v>
      </c>
      <c r="D4" s="100" t="s">
        <v>74</v>
      </c>
      <c r="E4" s="99" t="s">
        <v>75</v>
      </c>
      <c r="F4" s="99" t="s">
        <v>76</v>
      </c>
      <c r="G4" s="796"/>
      <c r="H4" s="61" t="s">
        <v>423</v>
      </c>
    </row>
    <row r="5" spans="1:19" ht="61.35" hidden="1" customHeight="1">
      <c r="A5" s="114" t="s">
        <v>2</v>
      </c>
      <c r="B5" s="70">
        <v>55.19</v>
      </c>
      <c r="C5" s="70">
        <v>55.25</v>
      </c>
      <c r="D5" s="70">
        <v>56.43</v>
      </c>
      <c r="E5" s="70">
        <v>55.15</v>
      </c>
      <c r="F5" s="70">
        <v>59.26</v>
      </c>
      <c r="G5" s="70">
        <v>44.6</v>
      </c>
      <c r="H5" s="29"/>
      <c r="I5" s="29"/>
      <c r="J5" s="29"/>
      <c r="K5" s="29"/>
      <c r="L5" s="29"/>
      <c r="M5" s="29"/>
      <c r="N5" s="29"/>
      <c r="O5" s="29"/>
      <c r="P5" s="29"/>
      <c r="Q5" s="29"/>
      <c r="R5" s="29"/>
      <c r="S5" s="29"/>
    </row>
    <row r="6" spans="1:19" ht="61.35" customHeight="1">
      <c r="A6" s="114" t="s">
        <v>3</v>
      </c>
      <c r="B6" s="70">
        <v>55.10195410596026</v>
      </c>
      <c r="C6" s="70">
        <v>55.162843193165429</v>
      </c>
      <c r="D6" s="70">
        <v>55.103400000000001</v>
      </c>
      <c r="E6" s="70">
        <v>55.1006</v>
      </c>
      <c r="F6" s="70">
        <v>59.9739</v>
      </c>
      <c r="G6" s="70">
        <v>43.43</v>
      </c>
      <c r="H6" s="73">
        <f>SUM(B6:G14)-SUM('[2]32平均年齡(公)-OK'!$B$6:$G$14)</f>
        <v>0</v>
      </c>
      <c r="I6" s="29"/>
      <c r="J6" s="29"/>
      <c r="K6" s="29"/>
      <c r="L6" s="29"/>
      <c r="M6" s="29"/>
      <c r="N6" s="29"/>
      <c r="O6" s="29"/>
      <c r="P6" s="29"/>
      <c r="Q6" s="29"/>
      <c r="R6" s="29"/>
      <c r="S6" s="29"/>
    </row>
    <row r="7" spans="1:19" ht="61.35" customHeight="1">
      <c r="A7" s="114" t="s">
        <v>4</v>
      </c>
      <c r="B7" s="70">
        <v>55.181021194605009</v>
      </c>
      <c r="C7" s="70">
        <v>55.196216581411058</v>
      </c>
      <c r="D7" s="70">
        <v>54.822200000000002</v>
      </c>
      <c r="E7" s="70">
        <v>55.163699999999999</v>
      </c>
      <c r="F7" s="70">
        <v>60.880600000000001</v>
      </c>
      <c r="G7" s="70">
        <v>46.8947</v>
      </c>
      <c r="H7" s="29"/>
      <c r="I7" s="29"/>
      <c r="J7" s="29"/>
      <c r="K7" s="29"/>
      <c r="L7" s="29"/>
      <c r="M7" s="29"/>
      <c r="N7" s="29"/>
      <c r="O7" s="29"/>
      <c r="P7" s="29"/>
      <c r="Q7" s="29"/>
      <c r="R7" s="29"/>
      <c r="S7" s="29"/>
    </row>
    <row r="8" spans="1:19" ht="61.35" customHeight="1">
      <c r="A8" s="114" t="s">
        <v>5</v>
      </c>
      <c r="B8" s="70">
        <v>55.270349663602744</v>
      </c>
      <c r="C8" s="70">
        <v>55.294100883442553</v>
      </c>
      <c r="D8" s="70">
        <v>55.401459854014597</v>
      </c>
      <c r="E8" s="70">
        <v>55.267784454351599</v>
      </c>
      <c r="F8" s="70">
        <v>58.8611111111111</v>
      </c>
      <c r="G8" s="70">
        <v>45.653846153846203</v>
      </c>
      <c r="H8" s="29"/>
      <c r="I8" s="29"/>
      <c r="J8" s="29"/>
      <c r="K8" s="29"/>
      <c r="L8" s="29"/>
      <c r="M8" s="29"/>
      <c r="N8" s="29"/>
      <c r="O8" s="29"/>
      <c r="P8" s="29"/>
      <c r="Q8" s="29"/>
      <c r="R8" s="29"/>
      <c r="S8" s="29"/>
    </row>
    <row r="9" spans="1:19" ht="61.35" customHeight="1">
      <c r="A9" s="114" t="s">
        <v>6</v>
      </c>
      <c r="B9" s="70">
        <v>55.424418013622073</v>
      </c>
      <c r="C9" s="70">
        <v>55.442950285248607</v>
      </c>
      <c r="D9" s="70">
        <v>53.511029411764703</v>
      </c>
      <c r="E9" s="70">
        <v>55.466427364864899</v>
      </c>
      <c r="F9" s="70">
        <v>59.6527777777778</v>
      </c>
      <c r="G9" s="70">
        <v>46.761904761904802</v>
      </c>
      <c r="H9" s="29"/>
      <c r="I9" s="73"/>
      <c r="J9" s="29"/>
      <c r="K9" s="29"/>
      <c r="L9" s="29"/>
      <c r="M9" s="29"/>
      <c r="N9" s="29"/>
      <c r="O9" s="29"/>
      <c r="P9" s="29"/>
      <c r="Q9" s="29"/>
      <c r="R9" s="29"/>
      <c r="S9" s="29"/>
    </row>
    <row r="10" spans="1:19" ht="61.35" customHeight="1">
      <c r="A10" s="114" t="s">
        <v>7</v>
      </c>
      <c r="B10" s="70">
        <v>55.597298133443367</v>
      </c>
      <c r="C10" s="70">
        <v>55.61256328133075</v>
      </c>
      <c r="D10" s="70">
        <v>50.926892950391597</v>
      </c>
      <c r="E10" s="70">
        <v>55.776101584545302</v>
      </c>
      <c r="F10" s="70">
        <v>59.121951219512198</v>
      </c>
      <c r="G10" s="70">
        <v>47.3888888888889</v>
      </c>
      <c r="H10" s="29"/>
      <c r="I10" s="29"/>
      <c r="J10" s="29"/>
      <c r="K10" s="29"/>
      <c r="L10" s="29"/>
      <c r="M10" s="29"/>
      <c r="N10" s="29"/>
      <c r="O10" s="29"/>
      <c r="P10" s="29"/>
      <c r="Q10" s="29"/>
      <c r="R10" s="29"/>
      <c r="S10" s="29"/>
    </row>
    <row r="11" spans="1:19" ht="61.35" customHeight="1">
      <c r="A11" s="114" t="s">
        <v>55</v>
      </c>
      <c r="B11" s="70">
        <v>55.718033341795689</v>
      </c>
      <c r="C11" s="70">
        <v>55.724476827925074</v>
      </c>
      <c r="D11" s="70">
        <v>50.832041343669303</v>
      </c>
      <c r="E11" s="70">
        <v>55.866243162166903</v>
      </c>
      <c r="F11" s="70">
        <v>59.219512195122</v>
      </c>
      <c r="G11" s="70">
        <v>50.285714285714299</v>
      </c>
      <c r="H11" s="29"/>
      <c r="I11" s="29"/>
      <c r="J11" s="29"/>
      <c r="K11" s="29"/>
      <c r="L11" s="29"/>
      <c r="M11" s="29"/>
      <c r="N11" s="29"/>
      <c r="O11" s="29"/>
      <c r="P11" s="29"/>
      <c r="Q11" s="29"/>
      <c r="R11" s="29"/>
      <c r="S11" s="29"/>
    </row>
    <row r="12" spans="1:19" ht="61.35" customHeight="1">
      <c r="A12" s="114" t="s">
        <v>99</v>
      </c>
      <c r="B12" s="70">
        <v>56.599520633597329</v>
      </c>
      <c r="C12" s="70">
        <v>56.61</v>
      </c>
      <c r="D12" s="70">
        <v>51.405472636815901</v>
      </c>
      <c r="E12" s="70">
        <v>56.830424761277598</v>
      </c>
      <c r="F12" s="70">
        <v>58.084507042253499</v>
      </c>
      <c r="G12" s="70">
        <v>46.5</v>
      </c>
      <c r="H12" s="29"/>
      <c r="I12" s="29"/>
      <c r="J12" s="29"/>
      <c r="K12" s="29"/>
      <c r="L12" s="29"/>
      <c r="M12" s="29"/>
      <c r="N12" s="29"/>
      <c r="O12" s="29"/>
      <c r="P12" s="29"/>
      <c r="Q12" s="29"/>
      <c r="R12" s="29"/>
      <c r="S12" s="29"/>
    </row>
    <row r="13" spans="1:19" ht="61.35" customHeight="1">
      <c r="A13" s="114" t="s">
        <v>98</v>
      </c>
      <c r="B13" s="70">
        <v>56.975891439295509</v>
      </c>
      <c r="C13" s="70">
        <v>56.990600144613161</v>
      </c>
      <c r="D13" s="70">
        <v>50.184070796460198</v>
      </c>
      <c r="E13" s="70">
        <v>57.616987434388399</v>
      </c>
      <c r="F13" s="70">
        <v>55.523809523809497</v>
      </c>
      <c r="G13" s="70">
        <v>48.5</v>
      </c>
      <c r="H13" s="29"/>
      <c r="I13" s="29"/>
      <c r="J13" s="29"/>
      <c r="K13" s="29"/>
      <c r="L13" s="29"/>
      <c r="M13" s="29"/>
      <c r="N13" s="29"/>
      <c r="O13" s="29"/>
      <c r="P13" s="29"/>
      <c r="Q13" s="29"/>
      <c r="R13" s="29"/>
      <c r="S13" s="29"/>
    </row>
    <row r="14" spans="1:19" ht="61.35" customHeight="1">
      <c r="A14" s="114" t="s">
        <v>189</v>
      </c>
      <c r="B14" s="70">
        <v>57.10010881392818</v>
      </c>
      <c r="C14" s="70">
        <v>57.112805352419478</v>
      </c>
      <c r="D14" s="70">
        <v>50.431988041853501</v>
      </c>
      <c r="E14" s="70">
        <v>57.915091036414601</v>
      </c>
      <c r="F14" s="70">
        <v>54.652173913043498</v>
      </c>
      <c r="G14" s="70">
        <v>43.5</v>
      </c>
      <c r="H14" s="29"/>
      <c r="I14" s="29"/>
      <c r="J14" s="29"/>
      <c r="K14" s="29"/>
      <c r="L14" s="29"/>
      <c r="M14" s="29"/>
      <c r="N14" s="29"/>
      <c r="O14" s="29"/>
      <c r="P14" s="29"/>
      <c r="Q14" s="29"/>
      <c r="R14" s="29"/>
      <c r="S14" s="29"/>
    </row>
    <row r="15" spans="1:19" ht="61.35" customHeight="1">
      <c r="A15" s="103" t="s">
        <v>367</v>
      </c>
      <c r="B15" s="70">
        <v>57.492120049335341</v>
      </c>
      <c r="C15" s="70">
        <v>57.506860592755217</v>
      </c>
      <c r="D15" s="70">
        <v>50.757653061224502</v>
      </c>
      <c r="E15" s="70">
        <v>57.901474237337602</v>
      </c>
      <c r="F15" s="70">
        <v>56.2222222222222</v>
      </c>
      <c r="G15" s="70">
        <v>45.5555555555556</v>
      </c>
      <c r="H15" s="29"/>
      <c r="I15" s="29"/>
      <c r="J15" s="29"/>
      <c r="K15" s="29"/>
      <c r="L15" s="29"/>
      <c r="M15" s="29"/>
      <c r="N15" s="29"/>
      <c r="O15" s="29"/>
      <c r="P15" s="29"/>
      <c r="Q15" s="29"/>
      <c r="R15" s="29"/>
      <c r="S15" s="29"/>
    </row>
    <row r="16" spans="1:19" s="29" customFormat="1" ht="20.100000000000001" customHeight="1">
      <c r="A16" s="106" t="s">
        <v>201</v>
      </c>
      <c r="B16" s="110"/>
      <c r="C16" s="110"/>
      <c r="D16" s="110"/>
      <c r="E16" s="110"/>
      <c r="F16" s="110"/>
      <c r="G16" s="110"/>
      <c r="H16" s="106"/>
      <c r="I16" s="106"/>
      <c r="J16" s="106"/>
      <c r="K16" s="106"/>
      <c r="L16" s="106"/>
      <c r="M16" s="106"/>
      <c r="N16" s="106"/>
      <c r="O16" s="106"/>
      <c r="P16" s="106"/>
      <c r="Q16" s="106"/>
      <c r="R16" s="106"/>
      <c r="S16" s="106"/>
    </row>
    <row r="17" spans="1:19" ht="20.100000000000001" customHeight="1">
      <c r="A17" s="106"/>
      <c r="B17" s="121">
        <f>B15-'15退休(公)-性別'!B51</f>
        <v>2.120049335339047E-3</v>
      </c>
      <c r="C17" s="121">
        <f>C15-'15退休(公)-性別'!C51</f>
        <v>-3.1394072447810117E-3</v>
      </c>
      <c r="D17" s="121">
        <f>D15-'15退休(公)-性別'!D51</f>
        <v>-2.3469387754957438E-3</v>
      </c>
      <c r="E17" s="121">
        <f>E15-'15退休(公)-性別'!E51</f>
        <v>1.4742373376037676E-3</v>
      </c>
      <c r="F17" s="121">
        <f>F15-'15退休(公)-性別'!F51</f>
        <v>2.2222222222012533E-3</v>
      </c>
      <c r="G17" s="121">
        <f>G15-'15退休(公)-性別'!G51</f>
        <v>-4.4444444444025066E-3</v>
      </c>
      <c r="H17" s="106"/>
      <c r="I17" s="106"/>
      <c r="J17" s="106"/>
      <c r="K17" s="106"/>
      <c r="L17" s="106"/>
      <c r="M17" s="106"/>
      <c r="N17" s="106"/>
      <c r="O17" s="106"/>
      <c r="P17" s="106"/>
      <c r="Q17" s="106"/>
      <c r="R17" s="106"/>
      <c r="S17" s="106"/>
    </row>
    <row r="18" spans="1:19" ht="16.5">
      <c r="A18" s="61" t="s">
        <v>359</v>
      </c>
      <c r="B18" s="74">
        <f>SUM(B5:G13)-SUM('[1]32平均年齡(公)'!$B$6:$G$14)</f>
        <v>0</v>
      </c>
      <c r="C18" s="12"/>
      <c r="D18" s="74"/>
      <c r="E18" s="12"/>
      <c r="F18" s="12"/>
      <c r="G18" s="12"/>
    </row>
    <row r="19" spans="1:19" ht="32.25" customHeight="1"/>
    <row r="20" spans="1:19" ht="32.25" customHeight="1"/>
    <row r="21" spans="1:19" ht="32.25" customHeight="1"/>
    <row r="22" spans="1:19" ht="32.25" customHeight="1"/>
    <row r="23" spans="1:19" ht="32.25" customHeight="1"/>
    <row r="24" spans="1:19" ht="32.25" customHeight="1"/>
    <row r="25" spans="1:19" ht="32.25" customHeight="1"/>
    <row r="26" spans="1:19" ht="32.25" customHeight="1"/>
    <row r="27" spans="1:19" ht="32.25" customHeight="1"/>
    <row r="28" spans="1:19" ht="32.25" customHeight="1">
      <c r="B28" s="140"/>
      <c r="C28" s="140"/>
    </row>
    <row r="29" spans="1:19" ht="32.25" customHeight="1"/>
    <row r="30" spans="1:19" ht="32.25" customHeight="1"/>
    <row r="31" spans="1:19" ht="32.25" customHeight="1"/>
    <row r="32" spans="1:19"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sheetData>
  <mergeCells count="6">
    <mergeCell ref="A1:G1"/>
    <mergeCell ref="A2:F2"/>
    <mergeCell ref="A3:A4"/>
    <mergeCell ref="B3:B4"/>
    <mergeCell ref="C3:F3"/>
    <mergeCell ref="G3:G4"/>
  </mergeCells>
  <phoneticPr fontId="3" type="noConversion"/>
  <pageMargins left="0.62992125984251968" right="0" top="0.59055118110236227" bottom="0.78740157480314965"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tabColor indexed="13"/>
  </sheetPr>
  <dimension ref="A1:I166"/>
  <sheetViews>
    <sheetView view="pageBreakPreview" zoomScale="75" zoomScaleNormal="100" zoomScaleSheetLayoutView="75"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8.125" defaultRowHeight="74.25" customHeight="1"/>
  <cols>
    <col min="1" max="1" width="11.375" style="26" customWidth="1"/>
    <col min="2" max="2" width="12" style="1" customWidth="1"/>
    <col min="3" max="3" width="14.125" style="1" customWidth="1"/>
    <col min="4" max="5" width="11.625" style="1" customWidth="1"/>
    <col min="6" max="6" width="14.625" style="1" customWidth="1"/>
    <col min="7" max="7" width="11.625" style="1" customWidth="1"/>
    <col min="8" max="16384" width="8.125" style="1"/>
  </cols>
  <sheetData>
    <row r="1" spans="1:9" ht="33" customHeight="1">
      <c r="A1" s="778" t="s">
        <v>180</v>
      </c>
      <c r="B1" s="778"/>
      <c r="C1" s="778"/>
      <c r="D1" s="778"/>
      <c r="E1" s="778"/>
      <c r="F1" s="778"/>
      <c r="G1" s="778"/>
    </row>
    <row r="2" spans="1:9" s="2" customFormat="1" ht="33" customHeight="1">
      <c r="A2" s="799" t="s">
        <v>420</v>
      </c>
      <c r="B2" s="799"/>
      <c r="C2" s="799"/>
      <c r="D2" s="799"/>
      <c r="E2" s="799"/>
      <c r="F2" s="799"/>
      <c r="G2" s="115" t="s">
        <v>47</v>
      </c>
    </row>
    <row r="3" spans="1:9" s="2" customFormat="1" ht="34.35" customHeight="1">
      <c r="A3" s="793" t="s">
        <v>48</v>
      </c>
      <c r="B3" s="794" t="s">
        <v>171</v>
      </c>
      <c r="C3" s="795" t="s">
        <v>66</v>
      </c>
      <c r="D3" s="795"/>
      <c r="E3" s="795"/>
      <c r="F3" s="795"/>
      <c r="G3" s="796" t="s">
        <v>101</v>
      </c>
      <c r="H3" s="3"/>
    </row>
    <row r="4" spans="1:9" s="2" customFormat="1" ht="34.35" customHeight="1">
      <c r="A4" s="793"/>
      <c r="B4" s="794"/>
      <c r="C4" s="100" t="s">
        <v>172</v>
      </c>
      <c r="D4" s="100" t="s">
        <v>74</v>
      </c>
      <c r="E4" s="99" t="s">
        <v>75</v>
      </c>
      <c r="F4" s="99" t="s">
        <v>348</v>
      </c>
      <c r="G4" s="796"/>
      <c r="H4" s="61" t="s">
        <v>423</v>
      </c>
    </row>
    <row r="5" spans="1:9" ht="61.35" hidden="1" customHeight="1">
      <c r="A5" s="114" t="s">
        <v>2</v>
      </c>
      <c r="B5" s="70">
        <v>54.06</v>
      </c>
      <c r="C5" s="70">
        <v>54.17</v>
      </c>
      <c r="D5" s="70">
        <v>57.73</v>
      </c>
      <c r="E5" s="70">
        <v>53.94</v>
      </c>
      <c r="F5" s="70">
        <v>58.12</v>
      </c>
      <c r="G5" s="70">
        <v>41.53</v>
      </c>
      <c r="H5" s="29"/>
    </row>
    <row r="6" spans="1:9" ht="61.35" customHeight="1">
      <c r="A6" s="114" t="s">
        <v>3</v>
      </c>
      <c r="B6" s="70">
        <v>53.900592266112277</v>
      </c>
      <c r="C6" s="70">
        <v>53.963776108786618</v>
      </c>
      <c r="D6" s="70">
        <v>56.186</v>
      </c>
      <c r="E6" s="70">
        <v>53.832000000000001</v>
      </c>
      <c r="F6" s="70">
        <v>58.802300000000002</v>
      </c>
      <c r="G6" s="70">
        <v>43.833300000000001</v>
      </c>
      <c r="H6" s="73">
        <f>SUM(B6:G14)-SUM('[2]33平均年齡(教)-OK'!$B$6:$G$14)</f>
        <v>0</v>
      </c>
    </row>
    <row r="7" spans="1:9" ht="61.35" customHeight="1">
      <c r="A7" s="114" t="s">
        <v>4</v>
      </c>
      <c r="B7" s="70">
        <v>53.893647394718059</v>
      </c>
      <c r="C7" s="70">
        <v>53.987050359712228</v>
      </c>
      <c r="D7" s="70">
        <v>57.315800000000003</v>
      </c>
      <c r="E7" s="70">
        <v>53.889499999999998</v>
      </c>
      <c r="F7" s="70">
        <v>59.207500000000003</v>
      </c>
      <c r="G7" s="70">
        <v>42.090899999999998</v>
      </c>
      <c r="H7" s="29"/>
    </row>
    <row r="8" spans="1:9" ht="61.35" customHeight="1">
      <c r="A8" s="114" t="s">
        <v>5</v>
      </c>
      <c r="B8" s="70">
        <v>53.976579989667641</v>
      </c>
      <c r="C8" s="70">
        <v>54.027883616210602</v>
      </c>
      <c r="D8" s="70">
        <v>57.397590361445801</v>
      </c>
      <c r="E8" s="70">
        <v>53.911916178298704</v>
      </c>
      <c r="F8" s="70">
        <v>60.25</v>
      </c>
      <c r="G8" s="70">
        <v>45</v>
      </c>
      <c r="H8" s="29"/>
    </row>
    <row r="9" spans="1:9" ht="61.35" customHeight="1">
      <c r="A9" s="114" t="s">
        <v>6</v>
      </c>
      <c r="B9" s="70">
        <v>53.976526717557284</v>
      </c>
      <c r="C9" s="70">
        <v>54.011893343564203</v>
      </c>
      <c r="D9" s="70">
        <v>58.240963855421697</v>
      </c>
      <c r="E9" s="70">
        <v>53.897915027537401</v>
      </c>
      <c r="F9" s="70">
        <v>58.978260869565197</v>
      </c>
      <c r="G9" s="70">
        <v>47.148148148148103</v>
      </c>
      <c r="H9" s="29"/>
    </row>
    <row r="10" spans="1:9" ht="61.35" customHeight="1">
      <c r="A10" s="114" t="s">
        <v>7</v>
      </c>
      <c r="B10" s="70">
        <v>53.997222222222184</v>
      </c>
      <c r="C10" s="70">
        <v>54.045073793378506</v>
      </c>
      <c r="D10" s="70">
        <v>58.0731707317073</v>
      </c>
      <c r="E10" s="70">
        <v>53.955768446799802</v>
      </c>
      <c r="F10" s="70">
        <v>58.192307692307701</v>
      </c>
      <c r="G10" s="70">
        <v>44.769230769230802</v>
      </c>
      <c r="H10" s="29"/>
    </row>
    <row r="11" spans="1:9" s="29" customFormat="1" ht="61.35" customHeight="1">
      <c r="A11" s="114" t="s">
        <v>55</v>
      </c>
      <c r="B11" s="70">
        <v>53.9765625</v>
      </c>
      <c r="C11" s="70">
        <v>54.014597394443562</v>
      </c>
      <c r="D11" s="70">
        <v>57.985507246376798</v>
      </c>
      <c r="E11" s="70">
        <v>53.9557183816502</v>
      </c>
      <c r="F11" s="70">
        <v>58</v>
      </c>
      <c r="G11" s="70">
        <v>45.620689655172399</v>
      </c>
    </row>
    <row r="12" spans="1:9" s="29" customFormat="1" ht="61.35" customHeight="1">
      <c r="A12" s="114" t="s">
        <v>99</v>
      </c>
      <c r="B12" s="70">
        <v>53.95</v>
      </c>
      <c r="C12" s="70">
        <v>53.99</v>
      </c>
      <c r="D12" s="70">
        <v>58.819277108433702</v>
      </c>
      <c r="E12" s="70">
        <v>53.906906453075401</v>
      </c>
      <c r="F12" s="70">
        <v>59.785714285714299</v>
      </c>
      <c r="G12" s="70">
        <v>45.030303030303003</v>
      </c>
    </row>
    <row r="13" spans="1:9" ht="61.35" customHeight="1">
      <c r="A13" s="114" t="s">
        <v>98</v>
      </c>
      <c r="B13" s="70">
        <v>54.266478176356244</v>
      </c>
      <c r="C13" s="70">
        <v>54.319338196050523</v>
      </c>
      <c r="D13" s="70">
        <v>56.369369369369402</v>
      </c>
      <c r="E13" s="70">
        <v>54.262196236068</v>
      </c>
      <c r="F13" s="70">
        <v>56.6216216216216</v>
      </c>
      <c r="G13" s="70">
        <v>46.447368421052602</v>
      </c>
      <c r="H13" s="70"/>
      <c r="I13" s="29"/>
    </row>
    <row r="14" spans="1:9" ht="61.35" customHeight="1">
      <c r="A14" s="114" t="s">
        <v>189</v>
      </c>
      <c r="B14" s="70">
        <v>54.49793839437303</v>
      </c>
      <c r="C14" s="70">
        <v>54.531546894031671</v>
      </c>
      <c r="D14" s="70">
        <v>55</v>
      </c>
      <c r="E14" s="70">
        <v>54.519114688128802</v>
      </c>
      <c r="F14" s="70">
        <v>54.352941176470601</v>
      </c>
      <c r="G14" s="70">
        <v>46.8333333333333</v>
      </c>
      <c r="H14" s="70"/>
      <c r="I14" s="29"/>
    </row>
    <row r="15" spans="1:9" ht="61.35" customHeight="1">
      <c r="A15" s="103" t="s">
        <v>367</v>
      </c>
      <c r="B15" s="70">
        <v>55.170946626384691</v>
      </c>
      <c r="C15" s="70">
        <v>55.195860676426051</v>
      </c>
      <c r="D15" s="70">
        <v>54.8735632183908</v>
      </c>
      <c r="E15" s="70">
        <v>55.207684319833803</v>
      </c>
      <c r="F15" s="70">
        <v>54.434782608695599</v>
      </c>
      <c r="G15" s="70">
        <v>45.3</v>
      </c>
      <c r="H15" s="70"/>
      <c r="I15" s="29"/>
    </row>
    <row r="16" spans="1:9" ht="20.100000000000001" customHeight="1">
      <c r="A16" s="833" t="s">
        <v>181</v>
      </c>
      <c r="B16" s="834"/>
      <c r="C16" s="834"/>
      <c r="D16" s="834"/>
      <c r="E16" s="834"/>
      <c r="F16" s="834"/>
      <c r="G16" s="834"/>
      <c r="H16" s="798"/>
    </row>
    <row r="17" spans="1:7" ht="16.5">
      <c r="B17" s="41">
        <f>B15-'16退休(教)-性別'!B51</f>
        <v>9.4662638468889782E-4</v>
      </c>
      <c r="C17" s="41">
        <f>C15-'16退休(教)-性別'!C51</f>
        <v>-4.1393235739519696E-3</v>
      </c>
      <c r="D17" s="41">
        <f>D15-'16退休(教)-性別'!D51</f>
        <v>3.563218390802092E-3</v>
      </c>
      <c r="E17" s="41">
        <f>E15-'16退休(教)-性別'!E51</f>
        <v>-2.3156801661983195E-3</v>
      </c>
      <c r="F17" s="41">
        <f>F15-'16退休(教)-性別'!F51</f>
        <v>4.7826086955993219E-3</v>
      </c>
      <c r="G17" s="41">
        <f>G15-'16退休(教)-性別'!G51</f>
        <v>0</v>
      </c>
    </row>
    <row r="18" spans="1:7" ht="16.5">
      <c r="A18" s="61" t="s">
        <v>359</v>
      </c>
      <c r="B18" s="41">
        <f>SUM(B5:G13)-SUM('[1]33平均年齡(教)'!$B$6:$G$14)</f>
        <v>0</v>
      </c>
    </row>
    <row r="19" spans="1:7" ht="32.25" customHeight="1"/>
    <row r="20" spans="1:7" ht="32.25" customHeight="1"/>
    <row r="21" spans="1:7" ht="32.25" customHeight="1"/>
    <row r="22" spans="1:7" ht="32.25" customHeight="1"/>
    <row r="23" spans="1:7" ht="32.25" customHeight="1"/>
    <row r="24" spans="1:7" ht="32.25" customHeight="1"/>
    <row r="25" spans="1:7" ht="32.25" customHeight="1"/>
    <row r="26" spans="1:7" ht="32.25" customHeight="1"/>
    <row r="27" spans="1:7" ht="32.25" customHeight="1"/>
    <row r="28" spans="1:7" ht="32.25" customHeight="1">
      <c r="B28" s="140"/>
      <c r="C28" s="140"/>
    </row>
    <row r="29" spans="1:7" ht="32.25" customHeight="1"/>
    <row r="30" spans="1:7" ht="32.25" customHeight="1"/>
    <row r="31" spans="1:7" ht="32.25" customHeight="1"/>
    <row r="32" spans="1:7"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sheetData>
  <mergeCells count="7">
    <mergeCell ref="A16:H16"/>
    <mergeCell ref="A1:G1"/>
    <mergeCell ref="A2:F2"/>
    <mergeCell ref="A3:A4"/>
    <mergeCell ref="B3:B4"/>
    <mergeCell ref="C3:F3"/>
    <mergeCell ref="G3:G4"/>
  </mergeCells>
  <phoneticPr fontId="3" type="noConversion"/>
  <pageMargins left="0.62992125984251968" right="0" top="0.59055118110236227" bottom="0.78740157480314965" header="0" footer="0"/>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sheetPr>
    <tabColor indexed="13"/>
  </sheetPr>
  <dimension ref="A1:I166"/>
  <sheetViews>
    <sheetView view="pageBreakPreview" zoomScale="75" zoomScaleNormal="100" zoomScaleSheetLayoutView="75" workbookViewId="0">
      <pane ySplit="4" topLeftCell="A5" activePane="bottomLeft" state="frozen"/>
      <selection activeCell="E20" sqref="E20"/>
      <selection pane="bottomLeft" activeCell="E20" sqref="E20"/>
    </sheetView>
  </sheetViews>
  <sheetFormatPr defaultColWidth="8.125" defaultRowHeight="74.25" customHeight="1"/>
  <cols>
    <col min="1" max="1" width="12.875" style="26" customWidth="1"/>
    <col min="2" max="3" width="23.125" style="1" customWidth="1"/>
    <col min="4" max="4" width="24.625" style="1" customWidth="1"/>
    <col min="5" max="16384" width="8.125" style="1"/>
  </cols>
  <sheetData>
    <row r="1" spans="1:9" ht="33" customHeight="1">
      <c r="A1" s="778" t="s">
        <v>182</v>
      </c>
      <c r="B1" s="778"/>
      <c r="C1" s="778"/>
      <c r="D1" s="778"/>
    </row>
    <row r="2" spans="1:9" s="2" customFormat="1" ht="33" customHeight="1">
      <c r="A2" s="792" t="s">
        <v>421</v>
      </c>
      <c r="B2" s="792"/>
      <c r="C2" s="792"/>
      <c r="D2" s="792"/>
    </row>
    <row r="3" spans="1:9" s="2" customFormat="1" ht="33" customHeight="1">
      <c r="A3" s="793" t="s">
        <v>48</v>
      </c>
      <c r="B3" s="817" t="s">
        <v>171</v>
      </c>
      <c r="C3" s="795" t="s">
        <v>84</v>
      </c>
      <c r="D3" s="889"/>
      <c r="E3" s="3"/>
    </row>
    <row r="4" spans="1:9" s="2" customFormat="1" ht="33" customHeight="1">
      <c r="A4" s="793"/>
      <c r="B4" s="888"/>
      <c r="C4" s="100" t="s">
        <v>152</v>
      </c>
      <c r="D4" s="101" t="s">
        <v>203</v>
      </c>
      <c r="E4" s="61" t="s">
        <v>423</v>
      </c>
    </row>
    <row r="5" spans="1:9" ht="61.35" hidden="1" customHeight="1">
      <c r="A5" s="114" t="s">
        <v>2</v>
      </c>
      <c r="B5" s="70">
        <v>35.99</v>
      </c>
      <c r="C5" s="70">
        <v>27.35</v>
      </c>
      <c r="D5" s="70">
        <v>43.76</v>
      </c>
      <c r="E5" s="29"/>
      <c r="F5" s="29"/>
      <c r="G5" s="29"/>
      <c r="H5" s="29"/>
      <c r="I5" s="29"/>
    </row>
    <row r="6" spans="1:9" ht="61.35" customHeight="1">
      <c r="A6" s="114" t="s">
        <v>3</v>
      </c>
      <c r="B6" s="70">
        <v>34.324846979070685</v>
      </c>
      <c r="C6" s="70">
        <v>26.206099999999999</v>
      </c>
      <c r="D6" s="70">
        <v>44.037300000000002</v>
      </c>
      <c r="E6" s="73">
        <f>SUM(B6:D14)-SUM('[2]34平均年齡(軍)-OK'!$B$6:$D$14)</f>
        <v>0</v>
      </c>
      <c r="F6" s="29"/>
      <c r="G6" s="29"/>
      <c r="H6" s="29"/>
      <c r="I6" s="29"/>
    </row>
    <row r="7" spans="1:9" ht="61.35" customHeight="1">
      <c r="A7" s="114" t="s">
        <v>4</v>
      </c>
      <c r="B7" s="70">
        <v>29.910375916870414</v>
      </c>
      <c r="C7" s="70">
        <v>25.163499999999999</v>
      </c>
      <c r="D7" s="70">
        <v>43.648299999999999</v>
      </c>
      <c r="E7" s="29"/>
      <c r="F7" s="29"/>
      <c r="G7" s="29"/>
      <c r="H7" s="29"/>
      <c r="I7" s="29"/>
    </row>
    <row r="8" spans="1:9" ht="61.35" customHeight="1">
      <c r="A8" s="114" t="s">
        <v>5</v>
      </c>
      <c r="B8" s="70">
        <v>29.657416650029901</v>
      </c>
      <c r="C8" s="70">
        <v>25.303468208092486</v>
      </c>
      <c r="D8" s="70">
        <v>43.432252701579387</v>
      </c>
      <c r="E8" s="29"/>
      <c r="F8" s="29"/>
      <c r="G8" s="29"/>
      <c r="H8" s="29"/>
      <c r="I8" s="29"/>
    </row>
    <row r="9" spans="1:9" ht="61.35" customHeight="1">
      <c r="A9" s="114" t="s">
        <v>6</v>
      </c>
      <c r="B9" s="69">
        <v>30.017566459772809</v>
      </c>
      <c r="C9" s="70">
        <v>25.684029137620428</v>
      </c>
      <c r="D9" s="70">
        <v>42.851310600788679</v>
      </c>
      <c r="E9" s="29"/>
      <c r="F9" s="29"/>
      <c r="G9" s="29"/>
      <c r="H9" s="29"/>
      <c r="I9" s="29"/>
    </row>
    <row r="10" spans="1:9" ht="61.35" customHeight="1">
      <c r="A10" s="114" t="s">
        <v>7</v>
      </c>
      <c r="B10" s="69">
        <v>30.210166734444897</v>
      </c>
      <c r="C10" s="70">
        <v>25.781758957654723</v>
      </c>
      <c r="D10" s="70">
        <v>43.430794165316044</v>
      </c>
      <c r="E10" s="29"/>
      <c r="F10" s="29"/>
      <c r="G10" s="29"/>
      <c r="H10" s="29"/>
      <c r="I10" s="29"/>
    </row>
    <row r="11" spans="1:9" ht="61.35" customHeight="1">
      <c r="A11" s="114" t="s">
        <v>55</v>
      </c>
      <c r="B11" s="69">
        <v>32.719556840077068</v>
      </c>
      <c r="C11" s="70">
        <v>26.730006105006105</v>
      </c>
      <c r="D11" s="70">
        <v>42.97126436781609</v>
      </c>
      <c r="E11" s="29"/>
      <c r="F11" s="29"/>
      <c r="G11" s="29"/>
      <c r="H11" s="29"/>
      <c r="I11" s="29"/>
    </row>
    <row r="12" spans="1:9" ht="61.35" customHeight="1">
      <c r="A12" s="114" t="s">
        <v>99</v>
      </c>
      <c r="B12" s="69">
        <v>32.426491994177582</v>
      </c>
      <c r="C12" s="70">
        <v>26.732170930398699</v>
      </c>
      <c r="D12" s="70">
        <v>42.399749687108901</v>
      </c>
      <c r="E12" s="29"/>
      <c r="F12" s="29"/>
      <c r="G12" s="29"/>
      <c r="H12" s="29"/>
      <c r="I12" s="29"/>
    </row>
    <row r="13" spans="1:9" ht="61.35" customHeight="1">
      <c r="A13" s="114" t="s">
        <v>98</v>
      </c>
      <c r="B13" s="69">
        <v>30.531421655339354</v>
      </c>
      <c r="C13" s="70">
        <v>26.810866658563299</v>
      </c>
      <c r="D13" s="70">
        <v>42.7068416865553</v>
      </c>
      <c r="E13" s="29"/>
      <c r="F13" s="29"/>
      <c r="G13" s="29"/>
      <c r="H13" s="29"/>
      <c r="I13" s="29"/>
    </row>
    <row r="14" spans="1:9" ht="61.35" customHeight="1">
      <c r="A14" s="114" t="s">
        <v>189</v>
      </c>
      <c r="B14" s="69">
        <v>28.204755354686579</v>
      </c>
      <c r="C14" s="70">
        <v>26.346388549872401</v>
      </c>
      <c r="D14" s="70">
        <v>42.581974248926997</v>
      </c>
      <c r="E14" s="29"/>
      <c r="F14" s="29"/>
      <c r="G14" s="29"/>
      <c r="H14" s="29"/>
      <c r="I14" s="29"/>
    </row>
    <row r="15" spans="1:9" ht="61.35" customHeight="1">
      <c r="A15" s="114" t="s">
        <v>367</v>
      </c>
      <c r="B15" s="71">
        <v>29.085554974734276</v>
      </c>
      <c r="C15" s="72">
        <v>26.198034449963</v>
      </c>
      <c r="D15" s="72">
        <v>42.646153846153801</v>
      </c>
      <c r="E15" s="29"/>
      <c r="F15" s="29"/>
      <c r="G15" s="29"/>
      <c r="H15" s="29"/>
      <c r="I15" s="29"/>
    </row>
    <row r="16" spans="1:9" ht="20.100000000000001" customHeight="1">
      <c r="A16" s="833" t="s">
        <v>183</v>
      </c>
      <c r="B16" s="834"/>
      <c r="C16" s="834"/>
      <c r="D16" s="834"/>
      <c r="E16" s="798"/>
      <c r="F16" s="798"/>
      <c r="G16" s="798"/>
      <c r="H16" s="798"/>
      <c r="I16" s="798"/>
    </row>
    <row r="17" spans="1:4" ht="16.5">
      <c r="B17" s="41">
        <f>B15-'17退伍(軍)-性別'!B53</f>
        <v>-4.4450252657242117E-3</v>
      </c>
      <c r="C17" s="41">
        <f>C15-'17退伍(軍)-性別'!C53</f>
        <v>-1.9655500369992751E-3</v>
      </c>
      <c r="D17" s="41">
        <f>D15-'17退伍(軍)-性別'!D53</f>
        <v>-3.8461538461973532E-3</v>
      </c>
    </row>
    <row r="18" spans="1:4" ht="16.5">
      <c r="A18" s="61" t="s">
        <v>359</v>
      </c>
      <c r="B18" s="41">
        <f>SUM(B5:D13)-SUM('[1]34平均年齡(軍)'!$B$6:$D$14)</f>
        <v>0</v>
      </c>
    </row>
    <row r="19" spans="1:4" ht="32.25" customHeight="1"/>
    <row r="20" spans="1:4" ht="32.25" customHeight="1"/>
    <row r="21" spans="1:4" ht="32.25" customHeight="1"/>
    <row r="22" spans="1:4" ht="32.25" customHeight="1"/>
    <row r="23" spans="1:4" ht="32.25" customHeight="1"/>
    <row r="24" spans="1:4" ht="32.25" customHeight="1"/>
    <row r="25" spans="1:4" ht="32.25" customHeight="1"/>
    <row r="26" spans="1:4" ht="32.25" customHeight="1"/>
    <row r="27" spans="1:4" ht="32.25" customHeight="1"/>
    <row r="28" spans="1:4" ht="32.25" customHeight="1">
      <c r="B28" s="140"/>
      <c r="C28" s="140"/>
    </row>
    <row r="29" spans="1:4" ht="32.25" customHeight="1"/>
    <row r="30" spans="1:4" ht="32.25" customHeight="1"/>
    <row r="31" spans="1:4" ht="32.25" customHeight="1"/>
    <row r="32" spans="1:4"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sheetData>
  <mergeCells count="6">
    <mergeCell ref="A16:I16"/>
    <mergeCell ref="A1:D1"/>
    <mergeCell ref="A2:D2"/>
    <mergeCell ref="A3:A4"/>
    <mergeCell ref="B3:B4"/>
    <mergeCell ref="C3:D3"/>
  </mergeCells>
  <phoneticPr fontId="3" type="noConversion"/>
  <pageMargins left="0.62992125984251968" right="0" top="0.59055118110236227" bottom="0.78740157480314965" header="0"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sheetPr>
    <tabColor rgb="FFFF0000"/>
    <pageSetUpPr fitToPage="1"/>
  </sheetPr>
  <dimension ref="A1:F28"/>
  <sheetViews>
    <sheetView view="pageBreakPreview" zoomScale="75" zoomScaleNormal="100" zoomScaleSheetLayoutView="75" workbookViewId="0">
      <pane ySplit="3" topLeftCell="A13" activePane="bottomLeft" state="frozen"/>
      <selection activeCell="E20" sqref="E20"/>
      <selection pane="bottomLeft" activeCell="E20" sqref="E20"/>
    </sheetView>
  </sheetViews>
  <sheetFormatPr defaultColWidth="9" defaultRowHeight="15.75"/>
  <cols>
    <col min="1" max="1" width="10.625" style="62" customWidth="1"/>
    <col min="2" max="5" width="18.125" style="62" customWidth="1"/>
    <col min="6" max="16384" width="9" style="62"/>
  </cols>
  <sheetData>
    <row r="1" spans="1:6" s="60" customFormat="1" ht="33" customHeight="1">
      <c r="A1" s="890" t="s">
        <v>1031</v>
      </c>
      <c r="B1" s="890"/>
      <c r="C1" s="890"/>
      <c r="D1" s="890"/>
      <c r="E1" s="890"/>
    </row>
    <row r="2" spans="1:6" s="2" customFormat="1" ht="33" customHeight="1">
      <c r="A2" s="882" t="s">
        <v>422</v>
      </c>
      <c r="B2" s="882"/>
      <c r="C2" s="882"/>
      <c r="D2" s="882"/>
      <c r="E2" s="115" t="s">
        <v>216</v>
      </c>
    </row>
    <row r="3" spans="1:6" s="1" customFormat="1" ht="50.25" customHeight="1">
      <c r="A3" s="98" t="s">
        <v>48</v>
      </c>
      <c r="B3" s="105" t="s">
        <v>43</v>
      </c>
      <c r="C3" s="105" t="s">
        <v>44</v>
      </c>
      <c r="D3" s="105" t="s">
        <v>45</v>
      </c>
      <c r="E3" s="105" t="s">
        <v>46</v>
      </c>
      <c r="F3" s="61" t="s">
        <v>423</v>
      </c>
    </row>
    <row r="4" spans="1:6" s="1" customFormat="1" ht="63" hidden="1" customHeight="1">
      <c r="A4" s="58" t="s">
        <v>2</v>
      </c>
      <c r="B4" s="48">
        <v>0</v>
      </c>
      <c r="C4" s="7">
        <v>98</v>
      </c>
      <c r="D4" s="7">
        <v>53</v>
      </c>
      <c r="E4" s="7">
        <v>9</v>
      </c>
    </row>
    <row r="5" spans="1:6" s="1" customFormat="1" ht="63" customHeight="1">
      <c r="A5" s="58" t="s">
        <v>3</v>
      </c>
      <c r="B5" s="48">
        <v>0</v>
      </c>
      <c r="C5" s="7">
        <v>72</v>
      </c>
      <c r="D5" s="7">
        <v>50</v>
      </c>
      <c r="E5" s="7">
        <v>4</v>
      </c>
      <c r="F5" s="143">
        <f>SUM(B5:E13)-SUM('[2]35一次撫慰金人數-OK'!$B$5:$E$13)</f>
        <v>0</v>
      </c>
    </row>
    <row r="6" spans="1:6" s="1" customFormat="1" ht="63" customHeight="1">
      <c r="A6" s="58" t="s">
        <v>4</v>
      </c>
      <c r="B6" s="48">
        <v>0</v>
      </c>
      <c r="C6" s="7">
        <v>112</v>
      </c>
      <c r="D6" s="7">
        <v>63</v>
      </c>
      <c r="E6" s="7">
        <v>5</v>
      </c>
    </row>
    <row r="7" spans="1:6" s="1" customFormat="1" ht="63" customHeight="1">
      <c r="A7" s="58" t="s">
        <v>5</v>
      </c>
      <c r="B7" s="7">
        <v>1</v>
      </c>
      <c r="C7" s="7">
        <v>153</v>
      </c>
      <c r="D7" s="7">
        <v>65</v>
      </c>
      <c r="E7" s="7">
        <v>7</v>
      </c>
    </row>
    <row r="8" spans="1:6" s="1" customFormat="1" ht="63" customHeight="1">
      <c r="A8" s="58" t="s">
        <v>6</v>
      </c>
      <c r="B8" s="48">
        <v>0</v>
      </c>
      <c r="C8" s="7">
        <v>161</v>
      </c>
      <c r="D8" s="7">
        <v>72</v>
      </c>
      <c r="E8" s="7">
        <v>9</v>
      </c>
    </row>
    <row r="9" spans="1:6" s="1" customFormat="1" ht="63" customHeight="1">
      <c r="A9" s="58" t="s">
        <v>7</v>
      </c>
      <c r="B9" s="48">
        <v>0</v>
      </c>
      <c r="C9" s="7">
        <v>159</v>
      </c>
      <c r="D9" s="7">
        <v>87</v>
      </c>
      <c r="E9" s="7">
        <v>8</v>
      </c>
    </row>
    <row r="10" spans="1:6" s="1" customFormat="1" ht="63" customHeight="1">
      <c r="A10" s="58" t="s">
        <v>11</v>
      </c>
      <c r="B10" s="7">
        <v>0</v>
      </c>
      <c r="C10" s="7">
        <v>218</v>
      </c>
      <c r="D10" s="7">
        <v>97</v>
      </c>
      <c r="E10" s="7">
        <v>8</v>
      </c>
    </row>
    <row r="11" spans="1:6" s="1" customFormat="1" ht="63" customHeight="1">
      <c r="A11" s="58" t="s">
        <v>99</v>
      </c>
      <c r="B11" s="7">
        <v>1</v>
      </c>
      <c r="C11" s="7">
        <v>265</v>
      </c>
      <c r="D11" s="7">
        <v>130</v>
      </c>
      <c r="E11" s="7">
        <v>24</v>
      </c>
    </row>
    <row r="12" spans="1:6" s="1" customFormat="1" ht="63" customHeight="1">
      <c r="A12" s="58" t="s">
        <v>100</v>
      </c>
      <c r="B12" s="7">
        <v>3</v>
      </c>
      <c r="C12" s="7">
        <v>289</v>
      </c>
      <c r="D12" s="7">
        <v>165</v>
      </c>
      <c r="E12" s="7">
        <v>18</v>
      </c>
    </row>
    <row r="13" spans="1:6" s="1" customFormat="1" ht="63" customHeight="1">
      <c r="A13" s="58" t="s">
        <v>200</v>
      </c>
      <c r="B13" s="7">
        <v>0</v>
      </c>
      <c r="C13" s="7">
        <v>250</v>
      </c>
      <c r="D13" s="7">
        <v>166</v>
      </c>
      <c r="E13" s="7">
        <v>17</v>
      </c>
    </row>
    <row r="14" spans="1:6" s="1" customFormat="1" ht="63" customHeight="1">
      <c r="A14" s="97" t="s">
        <v>396</v>
      </c>
      <c r="B14" s="27">
        <v>2</v>
      </c>
      <c r="C14" s="27">
        <v>404</v>
      </c>
      <c r="D14" s="27">
        <v>308</v>
      </c>
      <c r="E14" s="27">
        <v>35</v>
      </c>
    </row>
    <row r="15" spans="1:6" ht="29.25" customHeight="1">
      <c r="A15" s="891" t="s">
        <v>365</v>
      </c>
      <c r="B15" s="891"/>
      <c r="C15" s="891"/>
      <c r="D15" s="891"/>
      <c r="E15" s="891"/>
    </row>
    <row r="16" spans="1:6">
      <c r="A16" s="61" t="s">
        <v>359</v>
      </c>
      <c r="B16" s="120">
        <f>SUM(B4:E12)-SUM('[1]35一次撫慰金人數'!$B$5:$E$13)</f>
        <v>0</v>
      </c>
      <c r="C16" s="61"/>
      <c r="D16" s="61"/>
      <c r="E16" s="61"/>
    </row>
    <row r="17" spans="1:5">
      <c r="A17" s="61"/>
      <c r="B17" s="61"/>
      <c r="C17" s="61"/>
      <c r="D17" s="61"/>
      <c r="E17" s="61"/>
    </row>
    <row r="28" spans="1:5">
      <c r="B28" s="142"/>
      <c r="C28" s="142"/>
    </row>
  </sheetData>
  <mergeCells count="3">
    <mergeCell ref="A1:E1"/>
    <mergeCell ref="A2:D2"/>
    <mergeCell ref="A15:E15"/>
  </mergeCells>
  <phoneticPr fontId="3" type="noConversion"/>
  <pageMargins left="0.62992125984251968" right="0" top="0.59055118110236227" bottom="0.78740157480314965" header="0" footer="0"/>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sheetPr>
    <tabColor rgb="FFFF0000"/>
    <pageSetUpPr fitToPage="1"/>
  </sheetPr>
  <dimension ref="A1:Q28"/>
  <sheetViews>
    <sheetView view="pageBreakPreview" zoomScale="75" zoomScaleNormal="100" zoomScaleSheetLayoutView="75" workbookViewId="0">
      <pane ySplit="5" topLeftCell="A15" activePane="bottomLeft" state="frozen"/>
      <selection activeCell="E20" sqref="E20"/>
      <selection pane="bottomLeft" activeCell="E20" sqref="E20"/>
    </sheetView>
  </sheetViews>
  <sheetFormatPr defaultColWidth="9" defaultRowHeight="15.75"/>
  <cols>
    <col min="1" max="1" width="9.625" style="62" customWidth="1"/>
    <col min="2" max="2" width="9.125" style="62" customWidth="1"/>
    <col min="3" max="3" width="11.125" style="62" customWidth="1"/>
    <col min="4" max="4" width="9.125" style="62" customWidth="1"/>
    <col min="5" max="5" width="11.125" style="62" customWidth="1"/>
    <col min="6" max="6" width="9.125" style="62" customWidth="1"/>
    <col min="7" max="7" width="11.125" style="62" customWidth="1"/>
    <col min="8" max="8" width="9.125" style="62" customWidth="1"/>
    <col min="9" max="9" width="11.125" style="62" customWidth="1"/>
    <col min="10" max="16384" width="9" style="62"/>
  </cols>
  <sheetData>
    <row r="1" spans="1:17" s="60" customFormat="1" ht="33" customHeight="1">
      <c r="A1" s="893" t="s">
        <v>1032</v>
      </c>
      <c r="B1" s="893"/>
      <c r="C1" s="893"/>
      <c r="D1" s="893"/>
      <c r="E1" s="893"/>
      <c r="F1" s="893"/>
      <c r="G1" s="893"/>
      <c r="H1" s="893"/>
      <c r="I1" s="893"/>
    </row>
    <row r="2" spans="1:17" s="60" customFormat="1" ht="25.35" customHeight="1">
      <c r="A2" s="884" t="s">
        <v>217</v>
      </c>
      <c r="B2" s="884"/>
      <c r="C2" s="884"/>
      <c r="D2" s="884"/>
      <c r="E2" s="884"/>
      <c r="F2" s="884"/>
      <c r="G2" s="884"/>
      <c r="H2" s="884"/>
      <c r="I2" s="884"/>
    </row>
    <row r="3" spans="1:17" s="2" customFormat="1" ht="33" customHeight="1">
      <c r="A3" s="882" t="s">
        <v>1025</v>
      </c>
      <c r="B3" s="882"/>
      <c r="C3" s="882"/>
      <c r="D3" s="882"/>
      <c r="E3" s="882"/>
      <c r="F3" s="882"/>
      <c r="G3" s="882"/>
      <c r="H3" s="883" t="s">
        <v>185</v>
      </c>
      <c r="I3" s="883"/>
    </row>
    <row r="4" spans="1:17" s="1" customFormat="1" ht="33" customHeight="1">
      <c r="A4" s="793" t="s">
        <v>222</v>
      </c>
      <c r="B4" s="812" t="s">
        <v>295</v>
      </c>
      <c r="C4" s="824"/>
      <c r="D4" s="812" t="s">
        <v>296</v>
      </c>
      <c r="E4" s="824"/>
      <c r="F4" s="812" t="s">
        <v>297</v>
      </c>
      <c r="G4" s="824"/>
      <c r="H4" s="812" t="s">
        <v>298</v>
      </c>
      <c r="I4" s="824"/>
    </row>
    <row r="5" spans="1:17" s="1" customFormat="1" ht="33" customHeight="1">
      <c r="A5" s="793"/>
      <c r="B5" s="705" t="s">
        <v>90</v>
      </c>
      <c r="C5" s="706" t="s">
        <v>94</v>
      </c>
      <c r="D5" s="705" t="s">
        <v>90</v>
      </c>
      <c r="E5" s="706" t="s">
        <v>94</v>
      </c>
      <c r="F5" s="705" t="s">
        <v>90</v>
      </c>
      <c r="G5" s="706" t="s">
        <v>94</v>
      </c>
      <c r="H5" s="705" t="s">
        <v>90</v>
      </c>
      <c r="I5" s="707" t="s">
        <v>94</v>
      </c>
      <c r="J5" s="61" t="s">
        <v>423</v>
      </c>
    </row>
    <row r="6" spans="1:17" s="1" customFormat="1" ht="61.35" hidden="1" customHeight="1">
      <c r="A6" s="58" t="s">
        <v>2</v>
      </c>
      <c r="B6" s="7">
        <v>2</v>
      </c>
      <c r="C6" s="70">
        <v>69</v>
      </c>
      <c r="D6" s="7">
        <v>395</v>
      </c>
      <c r="E6" s="70">
        <v>61.42</v>
      </c>
      <c r="F6" s="7">
        <v>247</v>
      </c>
      <c r="G6" s="70">
        <v>61.79</v>
      </c>
      <c r="H6" s="7">
        <v>48</v>
      </c>
      <c r="I6" s="70">
        <v>47.48</v>
      </c>
    </row>
    <row r="7" spans="1:17" s="1" customFormat="1" ht="61.35" customHeight="1">
      <c r="A7" s="58" t="s">
        <v>3</v>
      </c>
      <c r="B7" s="7">
        <v>0</v>
      </c>
      <c r="C7" s="7">
        <v>0</v>
      </c>
      <c r="D7" s="7">
        <v>474</v>
      </c>
      <c r="E7" s="70">
        <v>61.5</v>
      </c>
      <c r="F7" s="7">
        <v>277</v>
      </c>
      <c r="G7" s="70">
        <v>61.83</v>
      </c>
      <c r="H7" s="7">
        <v>58</v>
      </c>
      <c r="I7" s="70">
        <v>52.53</v>
      </c>
      <c r="J7" s="143">
        <f>SUM(B7:I15)-SUM('[2]36配偶平均年齡-OK'!$B$7:$I$15)</f>
        <v>0</v>
      </c>
      <c r="K7" s="143"/>
      <c r="L7" s="143"/>
      <c r="M7" s="143"/>
      <c r="N7" s="143"/>
      <c r="O7" s="143"/>
      <c r="P7" s="143"/>
      <c r="Q7" s="143"/>
    </row>
    <row r="8" spans="1:17" s="1" customFormat="1" ht="61.35" customHeight="1">
      <c r="A8" s="58" t="s">
        <v>4</v>
      </c>
      <c r="B8" s="7">
        <v>0</v>
      </c>
      <c r="C8" s="7">
        <v>0</v>
      </c>
      <c r="D8" s="7">
        <v>495</v>
      </c>
      <c r="E8" s="70">
        <v>63.284848484848482</v>
      </c>
      <c r="F8" s="7">
        <v>291</v>
      </c>
      <c r="G8" s="70">
        <v>64.099699999999999</v>
      </c>
      <c r="H8" s="7">
        <v>63</v>
      </c>
      <c r="I8" s="70">
        <v>50.460299999999997</v>
      </c>
      <c r="J8" s="143"/>
      <c r="K8" s="143"/>
      <c r="L8" s="143"/>
      <c r="M8" s="143"/>
      <c r="N8" s="143"/>
      <c r="O8" s="143"/>
      <c r="P8" s="143"/>
      <c r="Q8" s="143"/>
    </row>
    <row r="9" spans="1:17" s="1" customFormat="1" ht="61.35" customHeight="1">
      <c r="A9" s="58" t="s">
        <v>5</v>
      </c>
      <c r="B9" s="7">
        <v>3</v>
      </c>
      <c r="C9" s="75">
        <v>79.333333333333329</v>
      </c>
      <c r="D9" s="7">
        <v>572</v>
      </c>
      <c r="E9" s="70">
        <v>63.88111888111888</v>
      </c>
      <c r="F9" s="7">
        <v>334</v>
      </c>
      <c r="G9" s="70">
        <v>63.451048951049003</v>
      </c>
      <c r="H9" s="7">
        <v>74</v>
      </c>
      <c r="I9" s="70">
        <v>50.702702702702702</v>
      </c>
      <c r="J9" s="143"/>
      <c r="K9" s="143"/>
      <c r="L9" s="143"/>
      <c r="M9" s="143"/>
      <c r="N9" s="143"/>
      <c r="O9" s="143"/>
      <c r="P9" s="143"/>
      <c r="Q9" s="143"/>
    </row>
    <row r="10" spans="1:17" s="1" customFormat="1" ht="61.35" customHeight="1">
      <c r="A10" s="58" t="s">
        <v>6</v>
      </c>
      <c r="B10" s="48">
        <v>1</v>
      </c>
      <c r="C10" s="70">
        <v>76</v>
      </c>
      <c r="D10" s="7">
        <v>570</v>
      </c>
      <c r="E10" s="70">
        <v>64.647368421052605</v>
      </c>
      <c r="F10" s="7">
        <v>334</v>
      </c>
      <c r="G10" s="70">
        <v>65.299401197604794</v>
      </c>
      <c r="H10" s="7">
        <v>78</v>
      </c>
      <c r="I10" s="70">
        <v>51.961538461538503</v>
      </c>
      <c r="J10" s="143"/>
      <c r="K10" s="143"/>
      <c r="L10" s="143"/>
      <c r="M10" s="143"/>
      <c r="N10" s="143"/>
      <c r="O10" s="143"/>
      <c r="P10" s="143"/>
      <c r="Q10" s="143"/>
    </row>
    <row r="11" spans="1:17" s="1" customFormat="1" ht="61.35" customHeight="1">
      <c r="A11" s="58" t="s">
        <v>7</v>
      </c>
      <c r="B11" s="48">
        <v>3</v>
      </c>
      <c r="C11" s="70">
        <v>75</v>
      </c>
      <c r="D11" s="7">
        <v>759</v>
      </c>
      <c r="E11" s="70">
        <v>64.640316205533594</v>
      </c>
      <c r="F11" s="7">
        <v>388</v>
      </c>
      <c r="G11" s="70">
        <v>65.487113402061894</v>
      </c>
      <c r="H11" s="7">
        <v>101</v>
      </c>
      <c r="I11" s="70">
        <v>51.762376237623798</v>
      </c>
      <c r="J11" s="143"/>
      <c r="K11" s="143"/>
      <c r="L11" s="143"/>
      <c r="M11" s="143"/>
      <c r="N11" s="143"/>
      <c r="O11" s="143"/>
      <c r="P11" s="143"/>
      <c r="Q11" s="143"/>
    </row>
    <row r="12" spans="1:17" s="29" customFormat="1" ht="61.35" customHeight="1">
      <c r="A12" s="58" t="s">
        <v>261</v>
      </c>
      <c r="B12" s="48">
        <v>2</v>
      </c>
      <c r="C12" s="70">
        <v>71</v>
      </c>
      <c r="D12" s="7">
        <v>718</v>
      </c>
      <c r="E12" s="70">
        <v>65.714484679665702</v>
      </c>
      <c r="F12" s="7">
        <v>469</v>
      </c>
      <c r="G12" s="70">
        <v>66.349680170575695</v>
      </c>
      <c r="H12" s="7">
        <v>87</v>
      </c>
      <c r="I12" s="70">
        <v>54.6666666666667</v>
      </c>
      <c r="J12" s="143"/>
      <c r="K12" s="143"/>
      <c r="L12" s="143"/>
      <c r="M12" s="143"/>
      <c r="N12" s="143"/>
      <c r="O12" s="143"/>
      <c r="P12" s="143"/>
      <c r="Q12" s="143"/>
    </row>
    <row r="13" spans="1:17" s="29" customFormat="1" ht="61.35" customHeight="1">
      <c r="A13" s="58" t="s">
        <v>99</v>
      </c>
      <c r="B13" s="48">
        <v>3</v>
      </c>
      <c r="C13" s="70">
        <v>78.33</v>
      </c>
      <c r="D13" s="7">
        <v>852</v>
      </c>
      <c r="E13" s="70">
        <v>66.67</v>
      </c>
      <c r="F13" s="7">
        <v>479</v>
      </c>
      <c r="G13" s="70">
        <v>67.02</v>
      </c>
      <c r="H13" s="7">
        <v>110</v>
      </c>
      <c r="I13" s="70">
        <v>53.8</v>
      </c>
      <c r="J13" s="143"/>
      <c r="K13" s="143"/>
      <c r="L13" s="143"/>
      <c r="M13" s="143"/>
      <c r="N13" s="143"/>
      <c r="O13" s="143"/>
      <c r="P13" s="143"/>
      <c r="Q13" s="143"/>
    </row>
    <row r="14" spans="1:17" s="29" customFormat="1" ht="61.35" customHeight="1">
      <c r="A14" s="58" t="s">
        <v>100</v>
      </c>
      <c r="B14" s="48">
        <v>0</v>
      </c>
      <c r="C14" s="70">
        <v>0</v>
      </c>
      <c r="D14" s="7">
        <v>914</v>
      </c>
      <c r="E14" s="70">
        <v>66.705689277899296</v>
      </c>
      <c r="F14" s="7">
        <v>554</v>
      </c>
      <c r="G14" s="70">
        <v>68.812274368231002</v>
      </c>
      <c r="H14" s="7">
        <v>124</v>
      </c>
      <c r="I14" s="70">
        <v>55.2661290322581</v>
      </c>
      <c r="J14" s="143"/>
      <c r="K14" s="143"/>
      <c r="L14" s="143"/>
      <c r="M14" s="143"/>
      <c r="N14" s="143"/>
      <c r="O14" s="143"/>
      <c r="P14" s="143"/>
      <c r="Q14" s="143"/>
    </row>
    <row r="15" spans="1:17" s="29" customFormat="1" ht="61.35" customHeight="1">
      <c r="A15" s="58" t="s">
        <v>200</v>
      </c>
      <c r="B15" s="48">
        <v>4</v>
      </c>
      <c r="C15" s="70">
        <v>74.25</v>
      </c>
      <c r="D15" s="7">
        <v>863</v>
      </c>
      <c r="E15" s="70">
        <v>68.123986095017401</v>
      </c>
      <c r="F15" s="7">
        <v>536</v>
      </c>
      <c r="G15" s="70">
        <v>69.166044776119406</v>
      </c>
      <c r="H15" s="7">
        <v>75</v>
      </c>
      <c r="I15" s="70">
        <v>54.16</v>
      </c>
      <c r="J15" s="143"/>
      <c r="K15" s="143"/>
      <c r="L15" s="143"/>
      <c r="M15" s="143"/>
      <c r="N15" s="143"/>
      <c r="O15" s="143"/>
      <c r="P15" s="143"/>
      <c r="Q15" s="143"/>
    </row>
    <row r="16" spans="1:17" s="1" customFormat="1" ht="61.35" customHeight="1">
      <c r="A16" s="704" t="s">
        <v>396</v>
      </c>
      <c r="B16" s="47">
        <v>5</v>
      </c>
      <c r="C16" s="72">
        <v>82</v>
      </c>
      <c r="D16" s="27">
        <v>988</v>
      </c>
      <c r="E16" s="72">
        <v>68.668016194331997</v>
      </c>
      <c r="F16" s="27">
        <v>447</v>
      </c>
      <c r="G16" s="72">
        <v>69.633109619686806</v>
      </c>
      <c r="H16" s="27">
        <v>124</v>
      </c>
      <c r="I16" s="72">
        <v>56.13</v>
      </c>
      <c r="J16" s="143"/>
      <c r="K16" s="143"/>
      <c r="L16" s="143"/>
      <c r="M16" s="143"/>
      <c r="N16" s="143"/>
      <c r="O16" s="143"/>
      <c r="P16" s="143"/>
      <c r="Q16" s="143"/>
    </row>
    <row r="17" spans="1:9">
      <c r="A17" s="61" t="s">
        <v>184</v>
      </c>
      <c r="B17" s="61"/>
      <c r="C17" s="61"/>
      <c r="D17" s="61"/>
      <c r="E17" s="61"/>
      <c r="F17" s="61"/>
      <c r="G17" s="61"/>
      <c r="H17" s="61"/>
      <c r="I17" s="61"/>
    </row>
    <row r="18" spans="1:9">
      <c r="A18" s="61" t="s">
        <v>1026</v>
      </c>
      <c r="B18" s="61"/>
      <c r="C18" s="61"/>
      <c r="D18" s="61"/>
      <c r="E18" s="61"/>
      <c r="F18" s="61"/>
      <c r="G18" s="61"/>
      <c r="H18" s="61"/>
      <c r="I18" s="61"/>
    </row>
    <row r="19" spans="1:9" ht="30" customHeight="1">
      <c r="A19" s="892" t="s">
        <v>191</v>
      </c>
      <c r="B19" s="892"/>
      <c r="C19" s="892"/>
      <c r="D19" s="892"/>
      <c r="E19" s="892"/>
      <c r="F19" s="892"/>
      <c r="G19" s="892"/>
      <c r="H19" s="892"/>
      <c r="I19" s="892"/>
    </row>
    <row r="20" spans="1:9">
      <c r="A20" s="61" t="s">
        <v>358</v>
      </c>
      <c r="B20" s="120">
        <f>SUM(B6:I14)-SUM('[7]36配偶平均年齡'!$B$7:$I$15)</f>
        <v>0</v>
      </c>
      <c r="C20" s="61"/>
      <c r="D20" s="61"/>
      <c r="E20" s="61"/>
      <c r="F20" s="61"/>
      <c r="G20" s="61"/>
      <c r="H20" s="61"/>
      <c r="I20" s="61"/>
    </row>
    <row r="21" spans="1:9">
      <c r="A21" s="61"/>
      <c r="B21" s="61"/>
      <c r="C21" s="61"/>
      <c r="D21" s="61"/>
      <c r="E21" s="61"/>
      <c r="F21" s="61"/>
      <c r="G21" s="61"/>
      <c r="H21" s="61"/>
      <c r="I21" s="61"/>
    </row>
    <row r="28" spans="1:9">
      <c r="B28" s="142"/>
      <c r="C28" s="142"/>
    </row>
  </sheetData>
  <mergeCells count="10">
    <mergeCell ref="A19:I19"/>
    <mergeCell ref="A1:I1"/>
    <mergeCell ref="A2:I2"/>
    <mergeCell ref="A3:G3"/>
    <mergeCell ref="H3:I3"/>
    <mergeCell ref="A4:A5"/>
    <mergeCell ref="B4:C4"/>
    <mergeCell ref="D4:E4"/>
    <mergeCell ref="F4:G4"/>
    <mergeCell ref="H4:I4"/>
  </mergeCells>
  <phoneticPr fontId="3" type="noConversion"/>
  <pageMargins left="0.6692913385826772" right="0" top="0.59055118110236227" bottom="0.51181102362204722" header="0.15748031496062992" footer="0"/>
  <pageSetup paperSize="9" scale="96" orientation="portrait" r:id="rId1"/>
  <headerFooter alignWithMargins="0"/>
</worksheet>
</file>

<file path=xl/worksheets/sheet39.xml><?xml version="1.0" encoding="utf-8"?>
<worksheet xmlns="http://schemas.openxmlformats.org/spreadsheetml/2006/main" xmlns:r="http://schemas.openxmlformats.org/officeDocument/2006/relationships">
  <sheetPr>
    <tabColor rgb="FFFF0000"/>
  </sheetPr>
  <dimension ref="A1:Q28"/>
  <sheetViews>
    <sheetView view="pageBreakPreview" zoomScale="75" zoomScaleNormal="100" zoomScaleSheetLayoutView="75" workbookViewId="0">
      <pane ySplit="5" topLeftCell="A12" activePane="bottomLeft" state="frozen"/>
      <selection activeCell="E20" sqref="E20"/>
      <selection pane="bottomLeft" activeCell="E20" sqref="E20"/>
    </sheetView>
  </sheetViews>
  <sheetFormatPr defaultColWidth="9" defaultRowHeight="15.75"/>
  <cols>
    <col min="1" max="1" width="9.625" style="62" customWidth="1"/>
    <col min="2" max="2" width="9.125" style="62" customWidth="1"/>
    <col min="3" max="3" width="11.5" style="62" customWidth="1"/>
    <col min="4" max="4" width="9.125" style="62" customWidth="1"/>
    <col min="5" max="5" width="11.5" style="62" customWidth="1"/>
    <col min="6" max="6" width="9.125" style="62" customWidth="1"/>
    <col min="7" max="7" width="11.5" style="62" customWidth="1"/>
    <col min="8" max="8" width="9.125" style="62" customWidth="1"/>
    <col min="9" max="9" width="11.5" style="62" customWidth="1"/>
    <col min="10" max="16384" width="9" style="62"/>
  </cols>
  <sheetData>
    <row r="1" spans="1:17" s="60" customFormat="1" ht="33" customHeight="1">
      <c r="A1" s="893" t="s">
        <v>1033</v>
      </c>
      <c r="B1" s="893"/>
      <c r="C1" s="893"/>
      <c r="D1" s="893"/>
      <c r="E1" s="893"/>
      <c r="F1" s="893"/>
      <c r="G1" s="893"/>
      <c r="H1" s="893"/>
      <c r="I1" s="893"/>
    </row>
    <row r="2" spans="1:17" s="60" customFormat="1" ht="25.35" customHeight="1">
      <c r="A2" s="884" t="s">
        <v>335</v>
      </c>
      <c r="B2" s="884"/>
      <c r="C2" s="884"/>
      <c r="D2" s="884"/>
      <c r="E2" s="884"/>
      <c r="F2" s="884"/>
      <c r="G2" s="884"/>
      <c r="H2" s="884"/>
      <c r="I2" s="884"/>
    </row>
    <row r="3" spans="1:17" s="2" customFormat="1" ht="33" customHeight="1">
      <c r="A3" s="882" t="s">
        <v>1025</v>
      </c>
      <c r="B3" s="882"/>
      <c r="C3" s="882"/>
      <c r="D3" s="882"/>
      <c r="E3" s="882"/>
      <c r="F3" s="882"/>
      <c r="G3" s="882"/>
      <c r="H3" s="883" t="s">
        <v>185</v>
      </c>
      <c r="I3" s="883"/>
    </row>
    <row r="4" spans="1:17" s="1" customFormat="1" ht="33" customHeight="1">
      <c r="A4" s="793" t="s">
        <v>48</v>
      </c>
      <c r="B4" s="812" t="s">
        <v>43</v>
      </c>
      <c r="C4" s="824"/>
      <c r="D4" s="812" t="s">
        <v>44</v>
      </c>
      <c r="E4" s="824"/>
      <c r="F4" s="812" t="s">
        <v>45</v>
      </c>
      <c r="G4" s="824"/>
      <c r="H4" s="812" t="s">
        <v>46</v>
      </c>
      <c r="I4" s="824"/>
    </row>
    <row r="5" spans="1:17" s="1" customFormat="1" ht="33" customHeight="1">
      <c r="A5" s="793"/>
      <c r="B5" s="693" t="s">
        <v>90</v>
      </c>
      <c r="C5" s="694" t="s">
        <v>94</v>
      </c>
      <c r="D5" s="693" t="s">
        <v>90</v>
      </c>
      <c r="E5" s="694" t="s">
        <v>94</v>
      </c>
      <c r="F5" s="693" t="s">
        <v>90</v>
      </c>
      <c r="G5" s="694" t="s">
        <v>94</v>
      </c>
      <c r="H5" s="693" t="s">
        <v>90</v>
      </c>
      <c r="I5" s="696" t="s">
        <v>94</v>
      </c>
      <c r="J5" s="61" t="s">
        <v>423</v>
      </c>
    </row>
    <row r="6" spans="1:17" s="1" customFormat="1" ht="61.5" hidden="1" customHeight="1">
      <c r="A6" s="58" t="s">
        <v>2</v>
      </c>
      <c r="B6" s="7">
        <v>0</v>
      </c>
      <c r="C6" s="7">
        <v>0</v>
      </c>
      <c r="D6" s="7">
        <v>1</v>
      </c>
      <c r="E6" s="70">
        <v>62</v>
      </c>
      <c r="F6" s="7">
        <v>4</v>
      </c>
      <c r="G6" s="70">
        <v>73.75</v>
      </c>
      <c r="H6" s="7">
        <v>1</v>
      </c>
      <c r="I6" s="70">
        <v>70</v>
      </c>
    </row>
    <row r="7" spans="1:17" s="1" customFormat="1" ht="61.5" customHeight="1">
      <c r="A7" s="58" t="s">
        <v>3</v>
      </c>
      <c r="B7" s="7">
        <v>0</v>
      </c>
      <c r="C7" s="7">
        <v>0</v>
      </c>
      <c r="D7" s="7">
        <v>4</v>
      </c>
      <c r="E7" s="70">
        <v>72.75</v>
      </c>
      <c r="F7" s="7">
        <v>2</v>
      </c>
      <c r="G7" s="70">
        <v>79</v>
      </c>
      <c r="H7" s="7">
        <v>3</v>
      </c>
      <c r="I7" s="70">
        <v>73.67</v>
      </c>
      <c r="J7" s="143">
        <f>SUM(B7:I15)-SUM('[2]37父母平均年齡-OK'!$B$7:$I$15)</f>
        <v>0</v>
      </c>
      <c r="K7" s="143"/>
      <c r="L7" s="143"/>
      <c r="M7" s="143"/>
      <c r="N7" s="143"/>
      <c r="O7" s="143"/>
      <c r="P7" s="143"/>
      <c r="Q7" s="143"/>
    </row>
    <row r="8" spans="1:17" s="1" customFormat="1" ht="61.5" customHeight="1">
      <c r="A8" s="58" t="s">
        <v>4</v>
      </c>
      <c r="B8" s="7">
        <v>0</v>
      </c>
      <c r="C8" s="7">
        <v>0</v>
      </c>
      <c r="D8" s="7">
        <v>2</v>
      </c>
      <c r="E8" s="70">
        <v>86</v>
      </c>
      <c r="F8" s="7">
        <v>2</v>
      </c>
      <c r="G8" s="70">
        <v>78.5</v>
      </c>
      <c r="H8" s="7">
        <v>6</v>
      </c>
      <c r="I8" s="70">
        <v>67.5</v>
      </c>
      <c r="J8" s="143"/>
      <c r="K8" s="143"/>
      <c r="L8" s="143"/>
      <c r="M8" s="143"/>
      <c r="N8" s="143"/>
      <c r="O8" s="143"/>
      <c r="P8" s="143"/>
      <c r="Q8" s="143"/>
    </row>
    <row r="9" spans="1:17" s="1" customFormat="1" ht="61.5" customHeight="1">
      <c r="A9" s="58" t="s">
        <v>5</v>
      </c>
      <c r="B9" s="7">
        <v>0</v>
      </c>
      <c r="C9" s="7">
        <v>0</v>
      </c>
      <c r="D9" s="7">
        <v>7</v>
      </c>
      <c r="E9" s="70">
        <v>82.142857142857096</v>
      </c>
      <c r="F9" s="7">
        <v>3</v>
      </c>
      <c r="G9" s="70">
        <v>86.6666666666667</v>
      </c>
      <c r="H9" s="7">
        <v>1</v>
      </c>
      <c r="I9" s="70">
        <v>65</v>
      </c>
      <c r="J9" s="143"/>
      <c r="K9" s="143"/>
      <c r="L9" s="143"/>
      <c r="M9" s="143"/>
      <c r="N9" s="143"/>
      <c r="O9" s="143"/>
      <c r="P9" s="143"/>
      <c r="Q9" s="143"/>
    </row>
    <row r="10" spans="1:17" s="1" customFormat="1" ht="61.5" customHeight="1">
      <c r="A10" s="58" t="s">
        <v>6</v>
      </c>
      <c r="B10" s="48">
        <v>0</v>
      </c>
      <c r="C10" s="7">
        <v>0</v>
      </c>
      <c r="D10" s="7">
        <v>3</v>
      </c>
      <c r="E10" s="70">
        <v>77.3333333333333</v>
      </c>
      <c r="F10" s="7">
        <v>7</v>
      </c>
      <c r="G10" s="70">
        <v>79.142857142857096</v>
      </c>
      <c r="H10" s="7">
        <v>2</v>
      </c>
      <c r="I10" s="70">
        <v>62</v>
      </c>
      <c r="J10" s="143"/>
      <c r="K10" s="143"/>
      <c r="L10" s="143"/>
      <c r="M10" s="143"/>
      <c r="N10" s="143"/>
      <c r="O10" s="143"/>
      <c r="P10" s="143"/>
      <c r="Q10" s="143"/>
    </row>
    <row r="11" spans="1:17" s="1" customFormat="1" ht="61.5" customHeight="1">
      <c r="A11" s="58" t="s">
        <v>7</v>
      </c>
      <c r="B11" s="48">
        <v>0</v>
      </c>
      <c r="C11" s="7">
        <v>0</v>
      </c>
      <c r="D11" s="7">
        <v>6</v>
      </c>
      <c r="E11" s="70">
        <v>82.1666666666667</v>
      </c>
      <c r="F11" s="7">
        <v>3</v>
      </c>
      <c r="G11" s="70">
        <v>84</v>
      </c>
      <c r="H11" s="7">
        <v>3</v>
      </c>
      <c r="I11" s="70">
        <v>76.3333333333333</v>
      </c>
      <c r="J11" s="143"/>
      <c r="K11" s="143"/>
      <c r="L11" s="143"/>
      <c r="M11" s="143"/>
      <c r="N11" s="143"/>
      <c r="O11" s="143"/>
      <c r="P11" s="143"/>
      <c r="Q11" s="143"/>
    </row>
    <row r="12" spans="1:17" s="1" customFormat="1" ht="61.5" customHeight="1">
      <c r="A12" s="58" t="s">
        <v>11</v>
      </c>
      <c r="B12" s="48">
        <v>0</v>
      </c>
      <c r="C12" s="7">
        <v>0</v>
      </c>
      <c r="D12" s="7">
        <v>12</v>
      </c>
      <c r="E12" s="70">
        <v>83.25</v>
      </c>
      <c r="F12" s="7">
        <v>7</v>
      </c>
      <c r="G12" s="70">
        <v>86</v>
      </c>
      <c r="H12" s="7">
        <v>9</v>
      </c>
      <c r="I12" s="70">
        <v>71.1111111111111</v>
      </c>
      <c r="J12" s="143"/>
      <c r="K12" s="143"/>
      <c r="L12" s="143"/>
      <c r="M12" s="143"/>
      <c r="N12" s="143"/>
      <c r="O12" s="143"/>
      <c r="P12" s="143"/>
      <c r="Q12" s="143"/>
    </row>
    <row r="13" spans="1:17" s="1" customFormat="1" ht="61.5" customHeight="1">
      <c r="A13" s="58" t="s">
        <v>99</v>
      </c>
      <c r="B13" s="48">
        <v>0</v>
      </c>
      <c r="C13" s="7">
        <v>0</v>
      </c>
      <c r="D13" s="7">
        <v>10</v>
      </c>
      <c r="E13" s="70">
        <v>82.5</v>
      </c>
      <c r="F13" s="7">
        <v>7</v>
      </c>
      <c r="G13" s="70">
        <v>85.86</v>
      </c>
      <c r="H13" s="7">
        <v>5</v>
      </c>
      <c r="I13" s="70">
        <v>66.2</v>
      </c>
      <c r="J13" s="143"/>
      <c r="K13" s="143"/>
      <c r="L13" s="143"/>
      <c r="M13" s="143"/>
      <c r="N13" s="143"/>
      <c r="O13" s="143"/>
      <c r="P13" s="143"/>
      <c r="Q13" s="143"/>
    </row>
    <row r="14" spans="1:17" s="29" customFormat="1" ht="61.5" customHeight="1">
      <c r="A14" s="58" t="s">
        <v>100</v>
      </c>
      <c r="B14" s="48">
        <v>0</v>
      </c>
      <c r="C14" s="7">
        <v>0</v>
      </c>
      <c r="D14" s="7">
        <v>5</v>
      </c>
      <c r="E14" s="70">
        <v>82.6</v>
      </c>
      <c r="F14" s="7">
        <v>4</v>
      </c>
      <c r="G14" s="70">
        <v>82.5</v>
      </c>
      <c r="H14" s="7">
        <v>10</v>
      </c>
      <c r="I14" s="70">
        <v>68.7</v>
      </c>
      <c r="J14" s="143"/>
      <c r="K14" s="143"/>
      <c r="L14" s="143"/>
      <c r="M14" s="143"/>
      <c r="N14" s="143"/>
      <c r="O14" s="143"/>
      <c r="P14" s="143"/>
      <c r="Q14" s="143"/>
    </row>
    <row r="15" spans="1:17" s="29" customFormat="1" ht="61.5" customHeight="1">
      <c r="A15" s="58" t="s">
        <v>200</v>
      </c>
      <c r="B15" s="48">
        <v>0</v>
      </c>
      <c r="C15" s="7">
        <v>0</v>
      </c>
      <c r="D15" s="7">
        <v>7</v>
      </c>
      <c r="E15" s="70">
        <v>82</v>
      </c>
      <c r="F15" s="7">
        <v>4</v>
      </c>
      <c r="G15" s="70">
        <v>81.5</v>
      </c>
      <c r="H15" s="7">
        <v>4</v>
      </c>
      <c r="I15" s="70">
        <v>75.75</v>
      </c>
      <c r="J15" s="143"/>
      <c r="K15" s="143"/>
      <c r="L15" s="143"/>
      <c r="M15" s="143"/>
      <c r="N15" s="143"/>
      <c r="O15" s="143"/>
      <c r="P15" s="143"/>
      <c r="Q15" s="143"/>
    </row>
    <row r="16" spans="1:17" s="1" customFormat="1" ht="61.5" customHeight="1">
      <c r="A16" s="692" t="s">
        <v>396</v>
      </c>
      <c r="B16" s="47">
        <v>0</v>
      </c>
      <c r="C16" s="27">
        <v>0</v>
      </c>
      <c r="D16" s="27">
        <v>6</v>
      </c>
      <c r="E16" s="72">
        <v>84.3333333333333</v>
      </c>
      <c r="F16" s="27">
        <v>8</v>
      </c>
      <c r="G16" s="72">
        <v>78.875</v>
      </c>
      <c r="H16" s="27">
        <v>6</v>
      </c>
      <c r="I16" s="72">
        <v>69.5</v>
      </c>
      <c r="J16" s="143"/>
      <c r="K16" s="143"/>
      <c r="L16" s="143"/>
      <c r="M16" s="143"/>
      <c r="N16" s="143"/>
      <c r="O16" s="143"/>
      <c r="P16" s="143"/>
      <c r="Q16" s="143"/>
    </row>
    <row r="17" spans="1:9">
      <c r="A17" s="61" t="s">
        <v>184</v>
      </c>
      <c r="B17" s="61"/>
      <c r="C17" s="61"/>
      <c r="D17" s="61"/>
      <c r="E17" s="61"/>
      <c r="H17" s="61"/>
      <c r="I17" s="61"/>
    </row>
    <row r="18" spans="1:9">
      <c r="A18" s="61" t="s">
        <v>1026</v>
      </c>
      <c r="B18" s="61"/>
      <c r="C18" s="61"/>
      <c r="D18" s="61"/>
      <c r="E18" s="61"/>
      <c r="F18" s="61"/>
      <c r="G18" s="61"/>
      <c r="H18" s="61"/>
      <c r="I18" s="61"/>
    </row>
    <row r="19" spans="1:9" ht="30" customHeight="1">
      <c r="A19" s="892" t="s">
        <v>336</v>
      </c>
      <c r="B19" s="892"/>
      <c r="C19" s="892"/>
      <c r="D19" s="892"/>
      <c r="E19" s="892"/>
      <c r="F19" s="892"/>
      <c r="G19" s="892"/>
      <c r="H19" s="892"/>
      <c r="I19" s="892"/>
    </row>
    <row r="20" spans="1:9">
      <c r="A20" s="61" t="s">
        <v>358</v>
      </c>
      <c r="B20" s="120">
        <f>SUM(B6:I14)-SUM('[7]37父母平均年齡'!$B$7:$I$15)</f>
        <v>0</v>
      </c>
      <c r="C20" s="61"/>
      <c r="D20" s="61"/>
      <c r="E20" s="61"/>
      <c r="F20" s="61"/>
      <c r="G20" s="61"/>
      <c r="H20" s="61"/>
      <c r="I20" s="61"/>
    </row>
    <row r="21" spans="1:9">
      <c r="A21" s="61"/>
      <c r="B21" s="61"/>
      <c r="C21" s="61"/>
      <c r="D21" s="61"/>
      <c r="E21" s="61"/>
      <c r="F21" s="61"/>
      <c r="G21" s="61"/>
      <c r="H21" s="61"/>
      <c r="I21" s="61"/>
    </row>
    <row r="28" spans="1:9">
      <c r="B28" s="142"/>
      <c r="C28" s="142"/>
    </row>
  </sheetData>
  <mergeCells count="10">
    <mergeCell ref="A19:I19"/>
    <mergeCell ref="A1:I1"/>
    <mergeCell ref="A2:I2"/>
    <mergeCell ref="A3:G3"/>
    <mergeCell ref="H3:I3"/>
    <mergeCell ref="A4:A5"/>
    <mergeCell ref="B4:C4"/>
    <mergeCell ref="D4:E4"/>
    <mergeCell ref="F4:G4"/>
    <mergeCell ref="H4:I4"/>
  </mergeCells>
  <phoneticPr fontId="3" type="noConversion"/>
  <pageMargins left="0.62992125984251968" right="0" top="0.59055118110236227" bottom="0.52"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indexed="46"/>
    <pageSetUpPr fitToPage="1"/>
  </sheetPr>
  <dimension ref="A1:T24"/>
  <sheetViews>
    <sheetView view="pageBreakPreview" topLeftCell="C1" zoomScaleNormal="100" zoomScaleSheetLayoutView="100" workbookViewId="0">
      <pane ySplit="5" topLeftCell="A6" activePane="bottomLeft" state="frozen"/>
      <selection activeCell="G26" sqref="G26"/>
      <selection pane="bottomLeft" activeCell="B24" sqref="B24:S24"/>
    </sheetView>
  </sheetViews>
  <sheetFormatPr defaultColWidth="8.25" defaultRowHeight="74.25" customHeight="1"/>
  <cols>
    <col min="1" max="1" width="9" style="14" customWidth="1"/>
    <col min="2" max="2" width="9.375" style="1" bestFit="1" customWidth="1"/>
    <col min="3" max="3" width="5.875" style="1" bestFit="1" customWidth="1"/>
    <col min="4" max="7" width="9.375" style="1" bestFit="1" customWidth="1"/>
    <col min="8" max="8" width="5.875" style="1" bestFit="1" customWidth="1"/>
    <col min="9" max="9" width="9.375" style="1" bestFit="1" customWidth="1"/>
    <col min="10" max="10" width="8.25" style="1" customWidth="1"/>
    <col min="11" max="11" width="9.5" style="1" bestFit="1" customWidth="1"/>
    <col min="12" max="12" width="9.375" style="1" bestFit="1" customWidth="1"/>
    <col min="13" max="13" width="3.25" style="1" customWidth="1"/>
    <col min="14" max="14" width="9.375" style="1" bestFit="1" customWidth="1"/>
    <col min="15" max="15" width="12" style="1" customWidth="1"/>
    <col min="16" max="16" width="8.75" style="1" bestFit="1" customWidth="1"/>
    <col min="17" max="17" width="5.5" style="1" bestFit="1" customWidth="1"/>
    <col min="18" max="18" width="6.625" style="1" customWidth="1"/>
    <col min="19" max="19" width="11.5" style="1" customWidth="1"/>
    <col min="20" max="16384" width="8.25" style="1"/>
  </cols>
  <sheetData>
    <row r="1" spans="1:20" s="2" customFormat="1" ht="33" customHeight="1">
      <c r="A1" s="787" t="s">
        <v>187</v>
      </c>
      <c r="B1" s="787"/>
      <c r="C1" s="787"/>
      <c r="D1" s="787"/>
      <c r="E1" s="787"/>
      <c r="F1" s="787"/>
      <c r="G1" s="787"/>
      <c r="H1" s="787"/>
      <c r="I1" s="787"/>
      <c r="J1" s="787"/>
      <c r="K1" s="787"/>
      <c r="L1" s="787"/>
      <c r="M1" s="108" t="s">
        <v>368</v>
      </c>
      <c r="N1" s="108"/>
      <c r="O1" s="108"/>
      <c r="P1" s="108"/>
      <c r="Q1" s="108"/>
      <c r="R1" s="108"/>
      <c r="S1" s="108"/>
    </row>
    <row r="2" spans="1:20" s="2" customFormat="1" ht="33" customHeight="1">
      <c r="A2" s="788" t="s">
        <v>369</v>
      </c>
      <c r="B2" s="788"/>
      <c r="C2" s="788"/>
      <c r="D2" s="788"/>
      <c r="E2" s="788"/>
      <c r="F2" s="788"/>
      <c r="G2" s="788"/>
      <c r="H2" s="788"/>
      <c r="I2" s="788"/>
      <c r="J2" s="788"/>
      <c r="K2" s="788"/>
      <c r="L2" s="788"/>
      <c r="M2" s="102" t="s">
        <v>370</v>
      </c>
      <c r="N2" s="102"/>
      <c r="O2" s="102"/>
      <c r="P2" s="102"/>
      <c r="Q2" s="102"/>
      <c r="R2" s="102"/>
      <c r="S2" s="115" t="s">
        <v>371</v>
      </c>
    </row>
    <row r="3" spans="1:20" ht="35.450000000000003" customHeight="1">
      <c r="A3" s="789" t="s">
        <v>277</v>
      </c>
      <c r="B3" s="781" t="s">
        <v>278</v>
      </c>
      <c r="C3" s="781"/>
      <c r="D3" s="781"/>
      <c r="E3" s="781"/>
      <c r="F3" s="782"/>
      <c r="G3" s="780" t="s">
        <v>87</v>
      </c>
      <c r="H3" s="781"/>
      <c r="I3" s="781"/>
      <c r="J3" s="781"/>
      <c r="K3" s="781"/>
      <c r="L3" s="780" t="s">
        <v>88</v>
      </c>
      <c r="M3" s="781"/>
      <c r="N3" s="781"/>
      <c r="O3" s="782"/>
      <c r="P3" s="780" t="s">
        <v>89</v>
      </c>
      <c r="Q3" s="781"/>
      <c r="R3" s="781"/>
      <c r="S3" s="782"/>
    </row>
    <row r="4" spans="1:20" ht="16.5">
      <c r="A4" s="790"/>
      <c r="B4" s="96" t="s">
        <v>279</v>
      </c>
      <c r="C4" s="783" t="s">
        <v>387</v>
      </c>
      <c r="D4" s="785"/>
      <c r="E4" s="783" t="s">
        <v>388</v>
      </c>
      <c r="F4" s="785" t="s">
        <v>59</v>
      </c>
      <c r="G4" s="112" t="s">
        <v>279</v>
      </c>
      <c r="H4" s="783" t="s">
        <v>387</v>
      </c>
      <c r="I4" s="785"/>
      <c r="J4" s="783" t="s">
        <v>388</v>
      </c>
      <c r="K4" s="785" t="s">
        <v>59</v>
      </c>
      <c r="L4" s="146" t="s">
        <v>279</v>
      </c>
      <c r="M4" s="783" t="s">
        <v>387</v>
      </c>
      <c r="N4" s="784"/>
      <c r="O4" s="147" t="s">
        <v>388</v>
      </c>
      <c r="P4" s="96" t="s">
        <v>279</v>
      </c>
      <c r="Q4" s="783" t="s">
        <v>387</v>
      </c>
      <c r="R4" s="784"/>
      <c r="S4" s="147" t="s">
        <v>388</v>
      </c>
    </row>
    <row r="5" spans="1:20" s="8" customFormat="1" ht="16.5" hidden="1">
      <c r="A5" s="58" t="s">
        <v>53</v>
      </c>
      <c r="B5" s="79" t="e">
        <f>G5+L5+P5+#REF!+#REF!</f>
        <v>#REF!</v>
      </c>
      <c r="C5" s="79" t="e">
        <f>H5+M5+Q5+#REF!</f>
        <v>#REF!</v>
      </c>
      <c r="D5" s="79" t="e">
        <f>I5+N5+R5+#REF!+#REF!</f>
        <v>#REF!</v>
      </c>
      <c r="E5" s="79">
        <f>J5+O5+S5</f>
        <v>204744</v>
      </c>
      <c r="F5" s="79">
        <f t="shared" ref="F5:F15" si="0">K5</f>
        <v>124091</v>
      </c>
      <c r="G5" s="79">
        <f t="shared" ref="G5:G21" si="1">SUM(H5:K5)</f>
        <v>275740</v>
      </c>
      <c r="H5" s="79">
        <v>223</v>
      </c>
      <c r="I5" s="79">
        <v>111105</v>
      </c>
      <c r="J5" s="79">
        <v>40321</v>
      </c>
      <c r="K5" s="79">
        <v>124091</v>
      </c>
      <c r="L5" s="79">
        <f t="shared" ref="L5:L21" si="2">SUM(M5:O5)</f>
        <v>76187</v>
      </c>
      <c r="M5" s="79">
        <v>61</v>
      </c>
      <c r="N5" s="79">
        <v>40296</v>
      </c>
      <c r="O5" s="79">
        <v>35830</v>
      </c>
      <c r="P5" s="79">
        <f t="shared" ref="P5:P21" si="3">SUM(Q5:S5)</f>
        <v>216485</v>
      </c>
      <c r="Q5" s="79">
        <v>27</v>
      </c>
      <c r="R5" s="79">
        <v>87865</v>
      </c>
      <c r="S5" s="79">
        <v>128593</v>
      </c>
    </row>
    <row r="6" spans="1:20" s="8" customFormat="1" ht="61.15" hidden="1" customHeight="1">
      <c r="A6" s="58" t="s">
        <v>60</v>
      </c>
      <c r="B6" s="79" t="e">
        <f>G6+L6+P6+#REF!+#REF!</f>
        <v>#REF!</v>
      </c>
      <c r="C6" s="79" t="e">
        <f>H6+M6+Q6+#REF!</f>
        <v>#REF!</v>
      </c>
      <c r="D6" s="79" t="e">
        <f>I6+N6+R6+#REF!+#REF!</f>
        <v>#REF!</v>
      </c>
      <c r="E6" s="79">
        <f>J6+O6+S6</f>
        <v>202603</v>
      </c>
      <c r="F6" s="79">
        <f t="shared" si="0"/>
        <v>117013</v>
      </c>
      <c r="G6" s="79">
        <f t="shared" si="1"/>
        <v>269043</v>
      </c>
      <c r="H6" s="79">
        <v>0</v>
      </c>
      <c r="I6" s="79">
        <v>111731</v>
      </c>
      <c r="J6" s="79">
        <v>40299</v>
      </c>
      <c r="K6" s="79">
        <v>117013</v>
      </c>
      <c r="L6" s="79">
        <f t="shared" si="2"/>
        <v>74854</v>
      </c>
      <c r="M6" s="79">
        <v>0</v>
      </c>
      <c r="N6" s="79">
        <v>39374</v>
      </c>
      <c r="O6" s="79">
        <v>35480</v>
      </c>
      <c r="P6" s="79">
        <f t="shared" si="3"/>
        <v>214745</v>
      </c>
      <c r="Q6" s="79">
        <v>0</v>
      </c>
      <c r="R6" s="79">
        <v>87921</v>
      </c>
      <c r="S6" s="79">
        <v>126824</v>
      </c>
    </row>
    <row r="7" spans="1:20" s="8" customFormat="1" ht="61.15" hidden="1" customHeight="1">
      <c r="A7" s="58" t="s">
        <v>54</v>
      </c>
      <c r="B7" s="79" t="e">
        <f>G7+L7+P7+#REF!+#REF!</f>
        <v>#REF!</v>
      </c>
      <c r="C7" s="79" t="e">
        <f>H7+M7+Q7+#REF!</f>
        <v>#REF!</v>
      </c>
      <c r="D7" s="79" t="e">
        <f>I7+N7+R7+#REF!+#REF!</f>
        <v>#REF!</v>
      </c>
      <c r="E7" s="79" t="e">
        <f>J7+O7+S7+#REF!</f>
        <v>#REF!</v>
      </c>
      <c r="F7" s="79">
        <f t="shared" si="0"/>
        <v>111727</v>
      </c>
      <c r="G7" s="79">
        <f t="shared" si="1"/>
        <v>263239</v>
      </c>
      <c r="H7" s="79">
        <v>0</v>
      </c>
      <c r="I7" s="79">
        <v>111111</v>
      </c>
      <c r="J7" s="79">
        <v>40401</v>
      </c>
      <c r="K7" s="79">
        <v>111727</v>
      </c>
      <c r="L7" s="79">
        <f t="shared" si="2"/>
        <v>73719</v>
      </c>
      <c r="M7" s="79">
        <v>0</v>
      </c>
      <c r="N7" s="79">
        <v>38607</v>
      </c>
      <c r="O7" s="79">
        <v>35112</v>
      </c>
      <c r="P7" s="79">
        <f t="shared" si="3"/>
        <v>214294</v>
      </c>
      <c r="Q7" s="79">
        <v>0</v>
      </c>
      <c r="R7" s="79">
        <v>88271</v>
      </c>
      <c r="S7" s="79">
        <v>126023</v>
      </c>
    </row>
    <row r="8" spans="1:20" s="8" customFormat="1" ht="61.15" hidden="1" customHeight="1">
      <c r="A8" s="58" t="s">
        <v>8</v>
      </c>
      <c r="B8" s="80" t="e">
        <f>G8+L8+P8+#REF!+#REF!</f>
        <v>#REF!</v>
      </c>
      <c r="C8" s="79" t="e">
        <f>H8+M8+Q8+#REF!</f>
        <v>#REF!</v>
      </c>
      <c r="D8" s="79" t="e">
        <f>I8+N8+R8+#REF!+#REF!</f>
        <v>#REF!</v>
      </c>
      <c r="E8" s="79" t="e">
        <f>J8+O8+S8+#REF!</f>
        <v>#REF!</v>
      </c>
      <c r="F8" s="79">
        <f t="shared" si="0"/>
        <v>107604</v>
      </c>
      <c r="G8" s="79">
        <f t="shared" si="1"/>
        <v>258655</v>
      </c>
      <c r="H8" s="79">
        <v>0</v>
      </c>
      <c r="I8" s="79">
        <v>110447</v>
      </c>
      <c r="J8" s="79">
        <v>40604</v>
      </c>
      <c r="K8" s="79">
        <v>107604</v>
      </c>
      <c r="L8" s="79">
        <f t="shared" si="2"/>
        <v>72842</v>
      </c>
      <c r="M8" s="79">
        <v>0</v>
      </c>
      <c r="N8" s="79">
        <v>38211</v>
      </c>
      <c r="O8" s="79">
        <v>34631</v>
      </c>
      <c r="P8" s="79">
        <f t="shared" si="3"/>
        <v>215487</v>
      </c>
      <c r="Q8" s="79">
        <v>0</v>
      </c>
      <c r="R8" s="79">
        <v>89535</v>
      </c>
      <c r="S8" s="79">
        <v>125952</v>
      </c>
    </row>
    <row r="9" spans="1:20" s="8" customFormat="1" ht="61.15" hidden="1" customHeight="1">
      <c r="A9" s="58" t="s">
        <v>0</v>
      </c>
      <c r="B9" s="80" t="e">
        <f>G9+L9+P9+#REF!+#REF!</f>
        <v>#REF!</v>
      </c>
      <c r="C9" s="79" t="e">
        <f>H9+M9+Q9+#REF!</f>
        <v>#REF!</v>
      </c>
      <c r="D9" s="79" t="e">
        <f>I9+N9+R9+#REF!+#REF!</f>
        <v>#REF!</v>
      </c>
      <c r="E9" s="79" t="e">
        <f>J9+O9+S9+#REF!</f>
        <v>#REF!</v>
      </c>
      <c r="F9" s="79">
        <f t="shared" si="0"/>
        <v>118561</v>
      </c>
      <c r="G9" s="79">
        <f t="shared" si="1"/>
        <v>271187</v>
      </c>
      <c r="H9" s="79">
        <v>0</v>
      </c>
      <c r="I9" s="79">
        <v>111620</v>
      </c>
      <c r="J9" s="79">
        <v>41006</v>
      </c>
      <c r="K9" s="79">
        <v>118561</v>
      </c>
      <c r="L9" s="79">
        <f t="shared" si="2"/>
        <v>72295</v>
      </c>
      <c r="M9" s="79">
        <v>0</v>
      </c>
      <c r="N9" s="79">
        <v>38025</v>
      </c>
      <c r="O9" s="79">
        <v>34270</v>
      </c>
      <c r="P9" s="79">
        <f t="shared" si="3"/>
        <v>216415</v>
      </c>
      <c r="Q9" s="79">
        <v>0</v>
      </c>
      <c r="R9" s="79">
        <v>90594</v>
      </c>
      <c r="S9" s="79">
        <v>125821</v>
      </c>
    </row>
    <row r="10" spans="1:20" s="8" customFormat="1" ht="69" hidden="1" customHeight="1">
      <c r="A10" s="58" t="s">
        <v>1</v>
      </c>
      <c r="B10" s="79" t="e">
        <f>G10+L10+P10+#REF!+#REF!</f>
        <v>#REF!</v>
      </c>
      <c r="C10" s="79" t="e">
        <f>H10+M10+Q10+#REF!</f>
        <v>#REF!</v>
      </c>
      <c r="D10" s="79" t="e">
        <f>I10+N10+R10+#REF!+#REF!</f>
        <v>#REF!</v>
      </c>
      <c r="E10" s="79" t="e">
        <f>J10+O10+S10+#REF!</f>
        <v>#REF!</v>
      </c>
      <c r="F10" s="79">
        <f t="shared" si="0"/>
        <v>124614</v>
      </c>
      <c r="G10" s="79">
        <f t="shared" si="1"/>
        <v>278837</v>
      </c>
      <c r="H10" s="79">
        <v>0</v>
      </c>
      <c r="I10" s="79">
        <v>113054</v>
      </c>
      <c r="J10" s="79">
        <v>41169</v>
      </c>
      <c r="K10" s="79">
        <v>124614</v>
      </c>
      <c r="L10" s="79">
        <f t="shared" si="2"/>
        <v>73328</v>
      </c>
      <c r="M10" s="79">
        <v>0</v>
      </c>
      <c r="N10" s="79">
        <v>39565</v>
      </c>
      <c r="O10" s="79">
        <v>33763</v>
      </c>
      <c r="P10" s="79">
        <f t="shared" si="3"/>
        <v>217386</v>
      </c>
      <c r="Q10" s="79">
        <v>0</v>
      </c>
      <c r="R10" s="79">
        <v>92001</v>
      </c>
      <c r="S10" s="79">
        <v>125385</v>
      </c>
    </row>
    <row r="11" spans="1:20" s="8" customFormat="1" ht="69" hidden="1" customHeight="1">
      <c r="A11" s="58" t="s">
        <v>2</v>
      </c>
      <c r="B11" s="79" t="e">
        <f>G11+L11+P11+#REF!+#REF!</f>
        <v>#REF!</v>
      </c>
      <c r="C11" s="79" t="e">
        <f>H11+M11+Q11+#REF!</f>
        <v>#REF!</v>
      </c>
      <c r="D11" s="79" t="e">
        <f>I11+N11+R11+#REF!+#REF!</f>
        <v>#REF!</v>
      </c>
      <c r="E11" s="79" t="e">
        <f>J11+O11+S11+#REF!</f>
        <v>#REF!</v>
      </c>
      <c r="F11" s="79">
        <f t="shared" si="0"/>
        <v>139315</v>
      </c>
      <c r="G11" s="79">
        <f t="shared" si="1"/>
        <v>295436</v>
      </c>
      <c r="H11" s="79">
        <v>0</v>
      </c>
      <c r="I11" s="79">
        <v>114812</v>
      </c>
      <c r="J11" s="79">
        <v>41309</v>
      </c>
      <c r="K11" s="79">
        <v>139315</v>
      </c>
      <c r="L11" s="79">
        <f t="shared" si="2"/>
        <v>73356</v>
      </c>
      <c r="M11" s="79">
        <v>0</v>
      </c>
      <c r="N11" s="79">
        <v>40099</v>
      </c>
      <c r="O11" s="79">
        <v>33257</v>
      </c>
      <c r="P11" s="79">
        <f t="shared" si="3"/>
        <v>218747</v>
      </c>
      <c r="Q11" s="79">
        <v>0</v>
      </c>
      <c r="R11" s="79">
        <v>94306</v>
      </c>
      <c r="S11" s="79">
        <v>124441</v>
      </c>
      <c r="T11" s="89"/>
    </row>
    <row r="12" spans="1:20" s="8" customFormat="1" ht="69" hidden="1" customHeight="1">
      <c r="A12" s="58" t="s">
        <v>3</v>
      </c>
      <c r="B12" s="79" t="e">
        <f>G12+L12+P12+#REF!+#REF!</f>
        <v>#REF!</v>
      </c>
      <c r="C12" s="79" t="e">
        <f>H12+M12+Q12+#REF!</f>
        <v>#REF!</v>
      </c>
      <c r="D12" s="79" t="e">
        <f>I12+N12+R12+#REF!+#REF!</f>
        <v>#REF!</v>
      </c>
      <c r="E12" s="79" t="e">
        <f>J12+O12+S12+#REF!</f>
        <v>#REF!</v>
      </c>
      <c r="F12" s="79">
        <f t="shared" si="0"/>
        <v>149381</v>
      </c>
      <c r="G12" s="79">
        <f t="shared" si="1"/>
        <v>306813</v>
      </c>
      <c r="H12" s="79">
        <v>0</v>
      </c>
      <c r="I12" s="79">
        <v>116150</v>
      </c>
      <c r="J12" s="79">
        <v>41282</v>
      </c>
      <c r="K12" s="79">
        <v>149381</v>
      </c>
      <c r="L12" s="79">
        <f t="shared" si="2"/>
        <v>164534</v>
      </c>
      <c r="M12" s="79">
        <v>0</v>
      </c>
      <c r="N12" s="79">
        <v>81069</v>
      </c>
      <c r="O12" s="79">
        <v>83465</v>
      </c>
      <c r="P12" s="79">
        <f t="shared" si="3"/>
        <v>132181</v>
      </c>
      <c r="Q12" s="79">
        <v>0</v>
      </c>
      <c r="R12" s="79">
        <v>60088</v>
      </c>
      <c r="S12" s="79">
        <v>72093</v>
      </c>
      <c r="T12" s="89"/>
    </row>
    <row r="13" spans="1:20" s="8" customFormat="1" ht="69" hidden="1" customHeight="1">
      <c r="A13" s="58" t="s">
        <v>4</v>
      </c>
      <c r="B13" s="79" t="e">
        <f>G13+L13+P13+#REF!+#REF!</f>
        <v>#REF!</v>
      </c>
      <c r="C13" s="79" t="e">
        <f>H13+M13+Q13+#REF!</f>
        <v>#REF!</v>
      </c>
      <c r="D13" s="79" t="e">
        <f>I13+N13+R13+#REF!+#REF!</f>
        <v>#REF!</v>
      </c>
      <c r="E13" s="79" t="e">
        <f>J13+O13+S13+#REF!</f>
        <v>#REF!</v>
      </c>
      <c r="F13" s="79">
        <f t="shared" si="0"/>
        <v>146139</v>
      </c>
      <c r="G13" s="79">
        <f t="shared" si="1"/>
        <v>301688</v>
      </c>
      <c r="H13" s="79">
        <v>0</v>
      </c>
      <c r="I13" s="79">
        <v>114412</v>
      </c>
      <c r="J13" s="79">
        <v>41137</v>
      </c>
      <c r="K13" s="79">
        <v>146139</v>
      </c>
      <c r="L13" s="79">
        <f t="shared" si="2"/>
        <v>179498</v>
      </c>
      <c r="M13" s="79">
        <v>0</v>
      </c>
      <c r="N13" s="79">
        <v>89497</v>
      </c>
      <c r="O13" s="79">
        <v>90001</v>
      </c>
      <c r="P13" s="79">
        <f t="shared" si="3"/>
        <v>116180</v>
      </c>
      <c r="Q13" s="79">
        <v>0</v>
      </c>
      <c r="R13" s="79">
        <v>53254</v>
      </c>
      <c r="S13" s="79">
        <v>62926</v>
      </c>
      <c r="T13" s="89"/>
    </row>
    <row r="14" spans="1:20" s="8" customFormat="1" ht="69" hidden="1" customHeight="1">
      <c r="A14" s="58" t="s">
        <v>5</v>
      </c>
      <c r="B14" s="79" t="e">
        <f>G14+L14+P14+#REF!+#REF!</f>
        <v>#REF!</v>
      </c>
      <c r="C14" s="79" t="e">
        <f>H14+M14+Q14+#REF!</f>
        <v>#REF!</v>
      </c>
      <c r="D14" s="79" t="e">
        <f>I14+N14+R14+#REF!+#REF!</f>
        <v>#REF!</v>
      </c>
      <c r="E14" s="79" t="e">
        <f>J14+O14+S14+#REF!</f>
        <v>#REF!</v>
      </c>
      <c r="F14" s="79">
        <f t="shared" si="0"/>
        <v>141754</v>
      </c>
      <c r="G14" s="79">
        <f t="shared" si="1"/>
        <v>297118</v>
      </c>
      <c r="H14" s="79">
        <v>0</v>
      </c>
      <c r="I14" s="79">
        <v>115000</v>
      </c>
      <c r="J14" s="79">
        <v>40364</v>
      </c>
      <c r="K14" s="79">
        <v>141754</v>
      </c>
      <c r="L14" s="79">
        <f t="shared" si="2"/>
        <v>180258</v>
      </c>
      <c r="M14" s="79">
        <v>0</v>
      </c>
      <c r="N14" s="79">
        <v>90213</v>
      </c>
      <c r="O14" s="79">
        <v>90045</v>
      </c>
      <c r="P14" s="79">
        <f t="shared" si="3"/>
        <v>116228</v>
      </c>
      <c r="Q14" s="79">
        <v>0</v>
      </c>
      <c r="R14" s="79">
        <v>53554</v>
      </c>
      <c r="S14" s="79">
        <v>62674</v>
      </c>
      <c r="T14" s="89"/>
    </row>
    <row r="15" spans="1:20" s="8" customFormat="1" ht="69" hidden="1" customHeight="1">
      <c r="A15" s="58" t="s">
        <v>6</v>
      </c>
      <c r="B15" s="79" t="e">
        <f>G15+L15+P15+#REF!+#REF!</f>
        <v>#REF!</v>
      </c>
      <c r="C15" s="79" t="e">
        <f>H15+M15+Q15+#REF!</f>
        <v>#REF!</v>
      </c>
      <c r="D15" s="79" t="e">
        <f>I15+N15+R15+#REF!+#REF!</f>
        <v>#REF!</v>
      </c>
      <c r="E15" s="79" t="e">
        <f>J15+O15+S15+#REF!</f>
        <v>#REF!</v>
      </c>
      <c r="F15" s="79">
        <f t="shared" si="0"/>
        <v>136387</v>
      </c>
      <c r="G15" s="79">
        <f t="shared" si="1"/>
        <v>290899</v>
      </c>
      <c r="H15" s="79">
        <v>0</v>
      </c>
      <c r="I15" s="79">
        <v>115110</v>
      </c>
      <c r="J15" s="79">
        <v>39402</v>
      </c>
      <c r="K15" s="79">
        <v>136387</v>
      </c>
      <c r="L15" s="79">
        <f t="shared" si="2"/>
        <v>181474</v>
      </c>
      <c r="M15" s="79">
        <v>0</v>
      </c>
      <c r="N15" s="79">
        <v>91183</v>
      </c>
      <c r="O15" s="79">
        <v>90291</v>
      </c>
      <c r="P15" s="79">
        <f t="shared" si="3"/>
        <v>116537</v>
      </c>
      <c r="Q15" s="79">
        <v>0</v>
      </c>
      <c r="R15" s="79">
        <v>53955</v>
      </c>
      <c r="S15" s="79">
        <v>62582</v>
      </c>
      <c r="T15" s="89"/>
    </row>
    <row r="16" spans="1:20" s="8" customFormat="1" ht="69" hidden="1" customHeight="1">
      <c r="A16" s="58" t="s">
        <v>7</v>
      </c>
      <c r="B16" s="79" t="e">
        <f>G16+L16+P16+#REF!+#REF!</f>
        <v>#REF!</v>
      </c>
      <c r="C16" s="79" t="e">
        <f>H16+M16+Q16+#REF!</f>
        <v>#REF!</v>
      </c>
      <c r="D16" s="79" t="e">
        <f>I16+N16+R16+#REF!+#REF!</f>
        <v>#REF!</v>
      </c>
      <c r="E16" s="79" t="e">
        <f>J16+O16+S16+#REF!</f>
        <v>#REF!</v>
      </c>
      <c r="F16" s="79">
        <f>K16</f>
        <v>143619</v>
      </c>
      <c r="G16" s="79">
        <f>SUM(H16:K16)</f>
        <v>297737</v>
      </c>
      <c r="H16" s="79">
        <v>0</v>
      </c>
      <c r="I16" s="79">
        <v>114954</v>
      </c>
      <c r="J16" s="79">
        <v>39164</v>
      </c>
      <c r="K16" s="79">
        <v>143619</v>
      </c>
      <c r="L16" s="79">
        <f>SUM(M16:O16)</f>
        <v>180572</v>
      </c>
      <c r="M16" s="79">
        <v>0</v>
      </c>
      <c r="N16" s="79">
        <f>91411-1386</f>
        <v>90025</v>
      </c>
      <c r="O16" s="79">
        <f>95818-5271</f>
        <v>90547</v>
      </c>
      <c r="P16" s="79">
        <f>SUM(Q16:S16)</f>
        <v>114361</v>
      </c>
      <c r="Q16" s="79">
        <v>0</v>
      </c>
      <c r="R16" s="79">
        <f>51240+1292</f>
        <v>52532</v>
      </c>
      <c r="S16" s="79">
        <f>56558+5271</f>
        <v>61829</v>
      </c>
      <c r="T16" s="89"/>
    </row>
    <row r="17" spans="1:20" s="8" customFormat="1" ht="69" hidden="1" customHeight="1">
      <c r="A17" s="58" t="s">
        <v>55</v>
      </c>
      <c r="B17" s="79" t="e">
        <f>G17+L17+P17+#REF!+#REF!</f>
        <v>#REF!</v>
      </c>
      <c r="C17" s="79" t="e">
        <f>H17+M17+Q17+#REF!</f>
        <v>#REF!</v>
      </c>
      <c r="D17" s="79" t="e">
        <f>I17+N17+R17+#REF!+#REF!</f>
        <v>#REF!</v>
      </c>
      <c r="E17" s="79" t="e">
        <f>J17+O17+S17+#REF!</f>
        <v>#REF!</v>
      </c>
      <c r="F17" s="79">
        <f>K17</f>
        <v>152204</v>
      </c>
      <c r="G17" s="79">
        <f>SUM(H17:K17)</f>
        <v>305471</v>
      </c>
      <c r="H17" s="79">
        <v>0</v>
      </c>
      <c r="I17" s="79">
        <v>114452</v>
      </c>
      <c r="J17" s="79">
        <v>38815</v>
      </c>
      <c r="K17" s="79">
        <v>152204</v>
      </c>
      <c r="L17" s="79">
        <f>SUM(M17:O17)</f>
        <v>201291</v>
      </c>
      <c r="M17" s="79">
        <v>0</v>
      </c>
      <c r="N17" s="79">
        <v>99264</v>
      </c>
      <c r="O17" s="79">
        <v>102027</v>
      </c>
      <c r="P17" s="79">
        <f>SUM(Q17:S17)</f>
        <v>92289</v>
      </c>
      <c r="Q17" s="79">
        <v>0</v>
      </c>
      <c r="R17" s="79">
        <v>44185</v>
      </c>
      <c r="S17" s="79">
        <v>48104</v>
      </c>
      <c r="T17" s="89"/>
    </row>
    <row r="18" spans="1:20" s="8" customFormat="1" ht="69" hidden="1" customHeight="1">
      <c r="A18" s="58" t="s">
        <v>355</v>
      </c>
      <c r="B18" s="79" t="e">
        <f>G18+L18+P18+#REF!+#REF!</f>
        <v>#REF!</v>
      </c>
      <c r="C18" s="79" t="e">
        <f>H18+M18+Q18+#REF!</f>
        <v>#REF!</v>
      </c>
      <c r="D18" s="79" t="e">
        <f>I18+N18+R18+#REF!+#REF!</f>
        <v>#REF!</v>
      </c>
      <c r="E18" s="79" t="e">
        <f>J18+O18+S18+#REF!</f>
        <v>#REF!</v>
      </c>
      <c r="F18" s="79">
        <f>K18</f>
        <v>159599</v>
      </c>
      <c r="G18" s="79">
        <f>SUM(H18:K18)</f>
        <v>312016</v>
      </c>
      <c r="H18" s="79">
        <v>0</v>
      </c>
      <c r="I18" s="79">
        <v>114508</v>
      </c>
      <c r="J18" s="79">
        <v>37909</v>
      </c>
      <c r="K18" s="79">
        <v>159599</v>
      </c>
      <c r="L18" s="79">
        <f>SUM(M18:O18)</f>
        <v>201251</v>
      </c>
      <c r="M18" s="79">
        <v>0</v>
      </c>
      <c r="N18" s="79">
        <v>100181</v>
      </c>
      <c r="O18" s="79">
        <v>101070</v>
      </c>
      <c r="P18" s="79">
        <f>SUM(Q18:S18)</f>
        <v>91230</v>
      </c>
      <c r="Q18" s="79">
        <v>0</v>
      </c>
      <c r="R18" s="79">
        <v>44400</v>
      </c>
      <c r="S18" s="79">
        <v>46830</v>
      </c>
      <c r="T18" s="89"/>
    </row>
    <row r="19" spans="1:20" s="8" customFormat="1" ht="69" hidden="1" customHeight="1">
      <c r="A19" s="58" t="s">
        <v>98</v>
      </c>
      <c r="B19" s="79" t="e">
        <f>G19+L19+P19+#REF!+#REF!</f>
        <v>#REF!</v>
      </c>
      <c r="C19" s="79" t="e">
        <f>H19+M19+Q19+#REF!</f>
        <v>#REF!</v>
      </c>
      <c r="D19" s="79" t="e">
        <f>I19+N19+R19+#REF!+#REF!</f>
        <v>#REF!</v>
      </c>
      <c r="E19" s="79" t="e">
        <f>J19+O19+S19+#REF!</f>
        <v>#REF!</v>
      </c>
      <c r="F19" s="79">
        <f>K19</f>
        <v>162211</v>
      </c>
      <c r="G19" s="79">
        <f>SUM(H19:K19)</f>
        <v>313319</v>
      </c>
      <c r="H19" s="79">
        <v>0</v>
      </c>
      <c r="I19" s="79">
        <v>115176</v>
      </c>
      <c r="J19" s="79">
        <v>35932</v>
      </c>
      <c r="K19" s="79">
        <v>162211</v>
      </c>
      <c r="L19" s="79">
        <f>SUM(M19:O19)</f>
        <v>204481</v>
      </c>
      <c r="M19" s="79">
        <v>0</v>
      </c>
      <c r="N19" s="79">
        <v>102835</v>
      </c>
      <c r="O19" s="79">
        <v>101646</v>
      </c>
      <c r="P19" s="79">
        <f>SUM(Q19:S19)</f>
        <v>91245</v>
      </c>
      <c r="Q19" s="79">
        <v>0</v>
      </c>
      <c r="R19" s="79">
        <v>45452</v>
      </c>
      <c r="S19" s="79">
        <v>45793</v>
      </c>
      <c r="T19" s="89"/>
    </row>
    <row r="20" spans="1:20" s="8" customFormat="1" ht="69" hidden="1" customHeight="1">
      <c r="A20" s="97" t="s">
        <v>189</v>
      </c>
      <c r="B20" s="81" t="e">
        <f>G20+L20+P20+#REF!+#REF!</f>
        <v>#REF!</v>
      </c>
      <c r="C20" s="81" t="e">
        <f>H20+M20+Q20+#REF!</f>
        <v>#REF!</v>
      </c>
      <c r="D20" s="81" t="e">
        <f>I20+N20+R20+#REF!+#REF!</f>
        <v>#REF!</v>
      </c>
      <c r="E20" s="81" t="e">
        <f>J20+O20+S20+#REF!</f>
        <v>#REF!</v>
      </c>
      <c r="F20" s="81">
        <f>K20</f>
        <v>170818</v>
      </c>
      <c r="G20" s="81">
        <f>SUM(H20:K20)</f>
        <v>321579</v>
      </c>
      <c r="H20" s="81">
        <v>0</v>
      </c>
      <c r="I20" s="81">
        <v>115594</v>
      </c>
      <c r="J20" s="81">
        <v>35167</v>
      </c>
      <c r="K20" s="81">
        <v>170818</v>
      </c>
      <c r="L20" s="81">
        <f>SUM(M20:O20)</f>
        <v>206909</v>
      </c>
      <c r="M20" s="81">
        <v>0</v>
      </c>
      <c r="N20" s="81">
        <v>104820</v>
      </c>
      <c r="O20" s="81">
        <v>102089</v>
      </c>
      <c r="P20" s="81">
        <f>SUM(Q20:S20)</f>
        <v>92006</v>
      </c>
      <c r="Q20" s="81">
        <v>0</v>
      </c>
      <c r="R20" s="81">
        <v>46599</v>
      </c>
      <c r="S20" s="81">
        <v>45407</v>
      </c>
      <c r="T20" s="89"/>
    </row>
    <row r="21" spans="1:20" s="8" customFormat="1" ht="69" customHeight="1">
      <c r="A21" s="97" t="s">
        <v>389</v>
      </c>
      <c r="B21" s="81">
        <f>G21+L21+P21</f>
        <v>663550</v>
      </c>
      <c r="C21" s="791">
        <f>H21+M21+Q21</f>
        <v>389252</v>
      </c>
      <c r="D21" s="791"/>
      <c r="E21" s="791">
        <f>J21+O21+S21</f>
        <v>274298</v>
      </c>
      <c r="F21" s="791"/>
      <c r="G21" s="81">
        <f t="shared" si="1"/>
        <v>302684</v>
      </c>
      <c r="H21" s="791">
        <v>173288</v>
      </c>
      <c r="I21" s="791"/>
      <c r="J21" s="791">
        <v>129396</v>
      </c>
      <c r="K21" s="791"/>
      <c r="L21" s="81">
        <f t="shared" si="2"/>
        <v>182365</v>
      </c>
      <c r="M21" s="791">
        <v>64271</v>
      </c>
      <c r="N21" s="791"/>
      <c r="O21" s="81">
        <v>118094</v>
      </c>
      <c r="P21" s="81">
        <f t="shared" si="3"/>
        <v>178501</v>
      </c>
      <c r="Q21" s="791">
        <v>151693</v>
      </c>
      <c r="R21" s="791"/>
      <c r="S21" s="81">
        <v>26808</v>
      </c>
      <c r="T21" s="89"/>
    </row>
    <row r="22" spans="1:20" ht="21.2" hidden="1" customHeight="1">
      <c r="A22" s="786"/>
      <c r="B22" s="786"/>
      <c r="C22" s="786"/>
      <c r="D22" s="786"/>
      <c r="E22" s="786"/>
      <c r="F22" s="786"/>
      <c r="G22" s="786"/>
      <c r="H22" s="786"/>
      <c r="I22" s="786"/>
      <c r="J22" s="786"/>
      <c r="K22" s="786"/>
      <c r="L22" s="82"/>
    </row>
    <row r="23" spans="1:20" s="12" customFormat="1" ht="21.2" customHeight="1">
      <c r="A23" s="61" t="s">
        <v>358</v>
      </c>
      <c r="B23" s="175">
        <f>SUM(B21:S21)-SUM('2人數性別附表-按政府別'!B21:Y21)</f>
        <v>0</v>
      </c>
      <c r="C23" s="175">
        <f>B21-'2人數性別附表-按政府別'!B21</f>
        <v>0</v>
      </c>
      <c r="G23" s="175">
        <f>G21-'2人數-OK'!D21</f>
        <v>0</v>
      </c>
      <c r="L23" s="175">
        <f>L21-'2人數-OK'!E21</f>
        <v>0</v>
      </c>
      <c r="P23" s="175">
        <f>P21-'2人數-OK'!F21</f>
        <v>0</v>
      </c>
    </row>
    <row r="24" spans="1:20" ht="25.5" customHeight="1">
      <c r="A24" s="12" t="s">
        <v>1024</v>
      </c>
      <c r="B24" s="143">
        <f>B21-'[3]2人數性別附表-按身分別'!B21</f>
        <v>0</v>
      </c>
      <c r="C24" s="143">
        <f>C21-'[3]2人數性別附表-按身分別'!C21</f>
        <v>0</v>
      </c>
      <c r="D24" s="143">
        <f>D21-'[3]2人數性別附表-按身分別'!D21</f>
        <v>0</v>
      </c>
      <c r="E24" s="143">
        <f>E21-'[3]2人數性別附表-按身分別'!E21</f>
        <v>0</v>
      </c>
      <c r="F24" s="143">
        <f>F21-'[3]2人數性別附表-按身分別'!F21</f>
        <v>0</v>
      </c>
      <c r="G24" s="143">
        <f>G21-'[3]2人數性別附表-按身分別'!G21</f>
        <v>0</v>
      </c>
      <c r="H24" s="143">
        <f>H21-'[3]2人數性別附表-按身分別'!H21</f>
        <v>0</v>
      </c>
      <c r="I24" s="143">
        <f>I21-'[3]2人數性別附表-按身分別'!I21</f>
        <v>0</v>
      </c>
      <c r="J24" s="143">
        <f>J21-'[3]2人數性別附表-按身分別'!J21</f>
        <v>0</v>
      </c>
      <c r="K24" s="143">
        <f>K21-'[3]2人數性別附表-按身分別'!K21</f>
        <v>0</v>
      </c>
      <c r="L24" s="143">
        <f>L21-'[3]2人數性別附表-按身分別'!L21</f>
        <v>0</v>
      </c>
      <c r="M24" s="143">
        <f>M21-'[3]2人數性別附表-按身分別'!M21</f>
        <v>0</v>
      </c>
      <c r="N24" s="143">
        <f>N21-'[3]2人數性別附表-按身分別'!N21</f>
        <v>0</v>
      </c>
      <c r="O24" s="143">
        <f>O21-'[3]2人數性別附表-按身分別'!O21</f>
        <v>0</v>
      </c>
      <c r="P24" s="143">
        <f>P21-'[3]2人數性別附表-按身分別'!P21</f>
        <v>0</v>
      </c>
      <c r="Q24" s="143">
        <f>Q21-'[3]2人數性別附表-按身分別'!Q21</f>
        <v>0</v>
      </c>
      <c r="R24" s="143">
        <f>R21-'[3]2人數性別附表-按身分別'!R21</f>
        <v>0</v>
      </c>
      <c r="S24" s="143">
        <f>S21-'[3]2人數性別附表-按身分別'!S21</f>
        <v>0</v>
      </c>
    </row>
  </sheetData>
  <mergeCells count="20">
    <mergeCell ref="A22:K22"/>
    <mergeCell ref="P3:S3"/>
    <mergeCell ref="C4:D4"/>
    <mergeCell ref="E4:F4"/>
    <mergeCell ref="H4:I4"/>
    <mergeCell ref="J4:K4"/>
    <mergeCell ref="M4:N4"/>
    <mergeCell ref="Q4:R4"/>
    <mergeCell ref="C21:D21"/>
    <mergeCell ref="E21:F21"/>
    <mergeCell ref="H21:I21"/>
    <mergeCell ref="J21:K21"/>
    <mergeCell ref="M21:N21"/>
    <mergeCell ref="Q21:R21"/>
    <mergeCell ref="A1:L1"/>
    <mergeCell ref="A2:L2"/>
    <mergeCell ref="A3:A4"/>
    <mergeCell ref="B3:F3"/>
    <mergeCell ref="G3:K3"/>
    <mergeCell ref="L3:O3"/>
  </mergeCells>
  <phoneticPr fontId="3" type="noConversion"/>
  <pageMargins left="0.31" right="0.32" top="0.59055118110236227" bottom="0.78740157480314965" header="0.16" footer="0"/>
  <pageSetup paperSize="9" fitToWidth="2" orientation="portrait" r:id="rId1"/>
  <headerFooter alignWithMargins="0"/>
</worksheet>
</file>

<file path=xl/worksheets/sheet40.xml><?xml version="1.0" encoding="utf-8"?>
<worksheet xmlns="http://schemas.openxmlformats.org/spreadsheetml/2006/main" xmlns:r="http://schemas.openxmlformats.org/officeDocument/2006/relationships">
  <sheetPr>
    <tabColor rgb="FFFF0000"/>
    <pageSetUpPr fitToPage="1"/>
  </sheetPr>
  <dimension ref="A1:Q28"/>
  <sheetViews>
    <sheetView view="pageBreakPreview" zoomScale="75" zoomScaleNormal="90" zoomScaleSheetLayoutView="75" workbookViewId="0">
      <pane ySplit="5" topLeftCell="A15" activePane="bottomLeft" state="frozen"/>
      <selection activeCell="E20" sqref="E20"/>
      <selection pane="bottomLeft" activeCell="E20" sqref="E20"/>
    </sheetView>
  </sheetViews>
  <sheetFormatPr defaultColWidth="9" defaultRowHeight="15.75"/>
  <cols>
    <col min="1" max="1" width="9.625" style="62" customWidth="1"/>
    <col min="2" max="2" width="9.125" style="62" customWidth="1"/>
    <col min="3" max="3" width="10.375" style="62" customWidth="1"/>
    <col min="4" max="4" width="9.125" style="62" customWidth="1"/>
    <col min="5" max="5" width="10.375" style="62" customWidth="1"/>
    <col min="6" max="6" width="9.125" style="62" customWidth="1"/>
    <col min="7" max="7" width="12.125" style="62" customWidth="1"/>
    <col min="8" max="8" width="9.125" style="62" customWidth="1"/>
    <col min="9" max="9" width="10.625" style="62" customWidth="1"/>
    <col min="10" max="16384" width="9" style="62"/>
  </cols>
  <sheetData>
    <row r="1" spans="1:17" s="60" customFormat="1" ht="33" customHeight="1">
      <c r="A1" s="893" t="s">
        <v>1034</v>
      </c>
      <c r="B1" s="893"/>
      <c r="C1" s="893"/>
      <c r="D1" s="893"/>
      <c r="E1" s="893"/>
      <c r="F1" s="893"/>
      <c r="G1" s="893"/>
      <c r="H1" s="893"/>
      <c r="I1" s="893"/>
    </row>
    <row r="2" spans="1:17" s="60" customFormat="1" ht="25.35" customHeight="1">
      <c r="A2" s="884" t="s">
        <v>218</v>
      </c>
      <c r="B2" s="884"/>
      <c r="C2" s="884"/>
      <c r="D2" s="884"/>
      <c r="E2" s="884"/>
      <c r="F2" s="884"/>
      <c r="G2" s="884"/>
      <c r="H2" s="884"/>
      <c r="I2" s="884"/>
    </row>
    <row r="3" spans="1:17" s="2" customFormat="1" ht="33" customHeight="1">
      <c r="A3" s="882" t="s">
        <v>1025</v>
      </c>
      <c r="B3" s="882"/>
      <c r="C3" s="882"/>
      <c r="D3" s="882"/>
      <c r="E3" s="882"/>
      <c r="F3" s="882"/>
      <c r="G3" s="882"/>
      <c r="H3" s="883" t="s">
        <v>185</v>
      </c>
      <c r="I3" s="883"/>
    </row>
    <row r="4" spans="1:17" s="1" customFormat="1" ht="33" customHeight="1">
      <c r="A4" s="793" t="s">
        <v>48</v>
      </c>
      <c r="B4" s="812" t="s">
        <v>43</v>
      </c>
      <c r="C4" s="824"/>
      <c r="D4" s="812" t="s">
        <v>44</v>
      </c>
      <c r="E4" s="824"/>
      <c r="F4" s="812" t="s">
        <v>45</v>
      </c>
      <c r="G4" s="824"/>
      <c r="H4" s="812" t="s">
        <v>46</v>
      </c>
      <c r="I4" s="824"/>
    </row>
    <row r="5" spans="1:17" s="1" customFormat="1" ht="33" customHeight="1">
      <c r="A5" s="793"/>
      <c r="B5" s="693" t="s">
        <v>90</v>
      </c>
      <c r="C5" s="694" t="s">
        <v>94</v>
      </c>
      <c r="D5" s="693" t="s">
        <v>90</v>
      </c>
      <c r="E5" s="694" t="s">
        <v>94</v>
      </c>
      <c r="F5" s="693" t="s">
        <v>90</v>
      </c>
      <c r="G5" s="694" t="s">
        <v>94</v>
      </c>
      <c r="H5" s="693" t="s">
        <v>90</v>
      </c>
      <c r="I5" s="696" t="s">
        <v>94</v>
      </c>
      <c r="J5" s="61" t="s">
        <v>423</v>
      </c>
    </row>
    <row r="6" spans="1:17" s="1" customFormat="1" ht="61.5" hidden="1" customHeight="1">
      <c r="A6" s="58" t="s">
        <v>2</v>
      </c>
      <c r="B6" s="7">
        <v>0</v>
      </c>
      <c r="C6" s="7">
        <v>0</v>
      </c>
      <c r="D6" s="7">
        <v>0</v>
      </c>
      <c r="E6" s="70">
        <v>0</v>
      </c>
      <c r="F6" s="7">
        <v>0</v>
      </c>
      <c r="G6" s="70">
        <v>0</v>
      </c>
      <c r="H6" s="7">
        <v>5</v>
      </c>
      <c r="I6" s="70">
        <v>11.8</v>
      </c>
    </row>
    <row r="7" spans="1:17" s="1" customFormat="1" ht="61.5" customHeight="1">
      <c r="A7" s="58" t="s">
        <v>3</v>
      </c>
      <c r="B7" s="7">
        <v>0</v>
      </c>
      <c r="C7" s="7">
        <v>0</v>
      </c>
      <c r="D7" s="7">
        <v>0</v>
      </c>
      <c r="E7" s="70">
        <v>0</v>
      </c>
      <c r="F7" s="7">
        <v>0</v>
      </c>
      <c r="G7" s="70">
        <v>0</v>
      </c>
      <c r="H7" s="7">
        <v>1</v>
      </c>
      <c r="I7" s="70">
        <v>17</v>
      </c>
      <c r="J7" s="143">
        <f>SUM(B7:I15)-SUM('[2]38子女平均年齡-OK'!$B$7:$I$15)</f>
        <v>0</v>
      </c>
      <c r="K7" s="143"/>
      <c r="L7" s="143"/>
      <c r="M7" s="143"/>
      <c r="N7" s="143"/>
      <c r="O7" s="143"/>
      <c r="P7" s="143"/>
      <c r="Q7" s="143"/>
    </row>
    <row r="8" spans="1:17" s="1" customFormat="1" ht="61.5" customHeight="1">
      <c r="A8" s="58" t="s">
        <v>4</v>
      </c>
      <c r="B8" s="7">
        <v>0</v>
      </c>
      <c r="C8" s="7">
        <v>0</v>
      </c>
      <c r="D8" s="7">
        <v>1</v>
      </c>
      <c r="E8" s="70">
        <v>8</v>
      </c>
      <c r="F8" s="7">
        <v>0</v>
      </c>
      <c r="G8" s="70">
        <v>0</v>
      </c>
      <c r="H8" s="7">
        <v>2</v>
      </c>
      <c r="I8" s="70">
        <v>14</v>
      </c>
      <c r="J8" s="143"/>
      <c r="K8" s="143"/>
      <c r="L8" s="143"/>
      <c r="M8" s="143"/>
      <c r="N8" s="143"/>
      <c r="O8" s="143"/>
      <c r="P8" s="143"/>
      <c r="Q8" s="143"/>
    </row>
    <row r="9" spans="1:17" s="1" customFormat="1" ht="61.5" customHeight="1">
      <c r="A9" s="58" t="s">
        <v>5</v>
      </c>
      <c r="B9" s="7">
        <v>0</v>
      </c>
      <c r="C9" s="7">
        <v>0</v>
      </c>
      <c r="D9" s="7">
        <v>4</v>
      </c>
      <c r="E9" s="70">
        <v>14</v>
      </c>
      <c r="F9" s="7">
        <v>1</v>
      </c>
      <c r="G9" s="70">
        <v>13</v>
      </c>
      <c r="H9" s="7">
        <v>2</v>
      </c>
      <c r="I9" s="70">
        <v>9.5</v>
      </c>
      <c r="J9" s="143"/>
      <c r="K9" s="143"/>
      <c r="L9" s="143"/>
      <c r="M9" s="143"/>
      <c r="N9" s="143"/>
      <c r="O9" s="143"/>
      <c r="P9" s="143"/>
      <c r="Q9" s="143"/>
    </row>
    <row r="10" spans="1:17" s="1" customFormat="1" ht="61.5" customHeight="1">
      <c r="A10" s="58" t="s">
        <v>6</v>
      </c>
      <c r="B10" s="48">
        <v>0</v>
      </c>
      <c r="C10" s="7">
        <v>0</v>
      </c>
      <c r="D10" s="7">
        <v>4</v>
      </c>
      <c r="E10" s="70">
        <v>9.75</v>
      </c>
      <c r="F10" s="7">
        <v>0</v>
      </c>
      <c r="G10" s="70">
        <v>0</v>
      </c>
      <c r="H10" s="7">
        <v>3</v>
      </c>
      <c r="I10" s="70">
        <v>15.3333333333333</v>
      </c>
      <c r="J10" s="143"/>
      <c r="K10" s="143"/>
      <c r="L10" s="143"/>
      <c r="M10" s="143"/>
      <c r="N10" s="143"/>
      <c r="O10" s="143"/>
      <c r="P10" s="143"/>
      <c r="Q10" s="143"/>
    </row>
    <row r="11" spans="1:17" s="1" customFormat="1" ht="61.5" customHeight="1">
      <c r="A11" s="58" t="s">
        <v>7</v>
      </c>
      <c r="B11" s="48">
        <v>0</v>
      </c>
      <c r="C11" s="7">
        <v>0</v>
      </c>
      <c r="D11" s="7">
        <v>4</v>
      </c>
      <c r="E11" s="70">
        <v>8.25</v>
      </c>
      <c r="F11" s="7">
        <v>1</v>
      </c>
      <c r="G11" s="70">
        <v>13</v>
      </c>
      <c r="H11" s="7">
        <v>2</v>
      </c>
      <c r="I11" s="70">
        <v>13</v>
      </c>
      <c r="J11" s="143"/>
      <c r="K11" s="143"/>
      <c r="L11" s="143"/>
      <c r="M11" s="143"/>
      <c r="N11" s="143"/>
      <c r="O11" s="143"/>
      <c r="P11" s="143"/>
      <c r="Q11" s="143"/>
    </row>
    <row r="12" spans="1:17" s="1" customFormat="1" ht="61.5" customHeight="1">
      <c r="A12" s="58" t="s">
        <v>11</v>
      </c>
      <c r="B12" s="7">
        <v>0</v>
      </c>
      <c r="C12" s="7">
        <v>0</v>
      </c>
      <c r="D12" s="7">
        <v>9</v>
      </c>
      <c r="E12" s="70">
        <v>8.6666666666666696</v>
      </c>
      <c r="F12" s="7">
        <v>1</v>
      </c>
      <c r="G12" s="70">
        <v>9</v>
      </c>
      <c r="H12" s="7">
        <v>4</v>
      </c>
      <c r="I12" s="70">
        <v>11.25</v>
      </c>
      <c r="J12" s="143"/>
      <c r="K12" s="143"/>
      <c r="L12" s="143"/>
      <c r="M12" s="143"/>
      <c r="N12" s="143"/>
      <c r="O12" s="143"/>
      <c r="P12" s="143"/>
      <c r="Q12" s="143"/>
    </row>
    <row r="13" spans="1:17" s="1" customFormat="1" ht="61.5" customHeight="1">
      <c r="A13" s="58" t="s">
        <v>99</v>
      </c>
      <c r="B13" s="7">
        <v>0</v>
      </c>
      <c r="C13" s="7">
        <v>0</v>
      </c>
      <c r="D13" s="7">
        <v>7</v>
      </c>
      <c r="E13" s="70">
        <v>8.28571428571429</v>
      </c>
      <c r="F13" s="7">
        <v>1</v>
      </c>
      <c r="G13" s="70">
        <v>16</v>
      </c>
      <c r="H13" s="7">
        <v>6</v>
      </c>
      <c r="I13" s="70">
        <v>14</v>
      </c>
      <c r="J13" s="143"/>
      <c r="K13" s="143"/>
      <c r="L13" s="143"/>
      <c r="M13" s="143"/>
      <c r="N13" s="143"/>
      <c r="O13" s="143"/>
      <c r="P13" s="143"/>
      <c r="Q13" s="143"/>
    </row>
    <row r="14" spans="1:17" s="29" customFormat="1" ht="61.5" customHeight="1">
      <c r="A14" s="58" t="s">
        <v>100</v>
      </c>
      <c r="B14" s="7">
        <v>0</v>
      </c>
      <c r="C14" s="7">
        <v>0</v>
      </c>
      <c r="D14" s="7">
        <v>5</v>
      </c>
      <c r="E14" s="70">
        <v>9.6</v>
      </c>
      <c r="F14" s="7">
        <v>0</v>
      </c>
      <c r="G14" s="70">
        <v>0</v>
      </c>
      <c r="H14" s="7">
        <v>5</v>
      </c>
      <c r="I14" s="70">
        <v>8.4</v>
      </c>
      <c r="J14" s="143"/>
      <c r="K14" s="143"/>
      <c r="L14" s="143"/>
      <c r="M14" s="143"/>
      <c r="N14" s="143"/>
      <c r="O14" s="143"/>
      <c r="P14" s="143"/>
      <c r="Q14" s="143"/>
    </row>
    <row r="15" spans="1:17" s="29" customFormat="1" ht="61.5" customHeight="1">
      <c r="A15" s="58" t="s">
        <v>200</v>
      </c>
      <c r="B15" s="7">
        <v>0</v>
      </c>
      <c r="C15" s="7">
        <v>0</v>
      </c>
      <c r="D15" s="7">
        <v>1</v>
      </c>
      <c r="E15" s="70">
        <v>4</v>
      </c>
      <c r="F15" s="7">
        <v>0</v>
      </c>
      <c r="G15" s="70">
        <v>0</v>
      </c>
      <c r="H15" s="7">
        <v>1</v>
      </c>
      <c r="I15" s="70">
        <v>15</v>
      </c>
      <c r="J15" s="143"/>
      <c r="K15" s="143"/>
      <c r="L15" s="143"/>
      <c r="M15" s="143"/>
      <c r="N15" s="143"/>
      <c r="O15" s="143"/>
      <c r="P15" s="143"/>
      <c r="Q15" s="143"/>
    </row>
    <row r="16" spans="1:17" s="1" customFormat="1" ht="61.5" customHeight="1">
      <c r="A16" s="692" t="s">
        <v>396</v>
      </c>
      <c r="B16" s="27">
        <v>0</v>
      </c>
      <c r="C16" s="27">
        <v>0</v>
      </c>
      <c r="D16" s="27">
        <v>6</v>
      </c>
      <c r="E16" s="72">
        <v>11.5</v>
      </c>
      <c r="F16" s="27">
        <v>3</v>
      </c>
      <c r="G16" s="72">
        <v>16.3333333333333</v>
      </c>
      <c r="H16" s="27">
        <v>2</v>
      </c>
      <c r="I16" s="72">
        <v>8</v>
      </c>
      <c r="J16" s="143"/>
      <c r="K16" s="143"/>
      <c r="L16" s="143"/>
      <c r="M16" s="143"/>
      <c r="N16" s="143"/>
      <c r="O16" s="143"/>
      <c r="P16" s="143"/>
      <c r="Q16" s="143"/>
    </row>
    <row r="17" spans="1:9">
      <c r="A17" s="61" t="s">
        <v>184</v>
      </c>
      <c r="B17" s="61"/>
      <c r="C17" s="61"/>
      <c r="D17" s="61"/>
      <c r="E17" s="61"/>
      <c r="F17" s="61"/>
      <c r="G17" s="61"/>
      <c r="H17" s="61"/>
      <c r="I17" s="61"/>
    </row>
    <row r="18" spans="1:9">
      <c r="A18" s="61" t="s">
        <v>1026</v>
      </c>
      <c r="B18" s="61"/>
      <c r="C18" s="61"/>
      <c r="D18" s="61"/>
      <c r="E18" s="61"/>
      <c r="F18" s="61"/>
      <c r="G18" s="61"/>
      <c r="H18" s="61"/>
      <c r="I18" s="61"/>
    </row>
    <row r="19" spans="1:9" ht="29.25" customHeight="1">
      <c r="A19" s="892" t="s">
        <v>219</v>
      </c>
      <c r="B19" s="892"/>
      <c r="C19" s="892"/>
      <c r="D19" s="892"/>
      <c r="E19" s="892"/>
      <c r="F19" s="892"/>
      <c r="G19" s="892"/>
      <c r="H19" s="892"/>
      <c r="I19" s="892"/>
    </row>
    <row r="20" spans="1:9">
      <c r="A20" s="61" t="s">
        <v>358</v>
      </c>
      <c r="B20" s="120">
        <f>SUM(B6:I14)-SUM('[7]38子女平均年齡'!$B$7:$I$15)</f>
        <v>0</v>
      </c>
      <c r="C20" s="61"/>
      <c r="D20" s="61"/>
      <c r="E20" s="61"/>
      <c r="F20" s="61"/>
      <c r="G20" s="61"/>
      <c r="H20" s="61"/>
      <c r="I20" s="61"/>
    </row>
    <row r="21" spans="1:9">
      <c r="A21" s="61"/>
      <c r="B21" s="61"/>
      <c r="C21" s="61"/>
      <c r="D21" s="61"/>
      <c r="E21" s="61"/>
      <c r="F21" s="61"/>
      <c r="G21" s="61"/>
      <c r="H21" s="61"/>
      <c r="I21" s="61"/>
    </row>
    <row r="28" spans="1:9">
      <c r="B28" s="142"/>
      <c r="C28" s="142"/>
    </row>
  </sheetData>
  <mergeCells count="10">
    <mergeCell ref="A19:I19"/>
    <mergeCell ref="A1:I1"/>
    <mergeCell ref="A2:I2"/>
    <mergeCell ref="A3:G3"/>
    <mergeCell ref="H3:I3"/>
    <mergeCell ref="A4:A5"/>
    <mergeCell ref="B4:C4"/>
    <mergeCell ref="D4:E4"/>
    <mergeCell ref="F4:G4"/>
    <mergeCell ref="H4:I4"/>
  </mergeCells>
  <phoneticPr fontId="3" type="noConversion"/>
  <pageMargins left="0.62992125984251968" right="0" top="0.59055118110236227" bottom="0.78740157480314965" header="0" footer="0"/>
  <pageSetup paperSize="9" scale="94"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tabColor indexed="46"/>
    <pageSetUpPr fitToPage="1"/>
  </sheetPr>
  <dimension ref="A1:V114"/>
  <sheetViews>
    <sheetView view="pageBreakPreview" zoomScaleNormal="100" zoomScaleSheetLayoutView="100" workbookViewId="0">
      <pane xSplit="1" ySplit="4" topLeftCell="L14" activePane="bottomRight" state="frozen"/>
      <selection activeCell="E20" sqref="E20"/>
      <selection pane="topRight" activeCell="E20" sqref="E20"/>
      <selection pane="bottomLeft" activeCell="E20" sqref="E20"/>
      <selection pane="bottomRight" activeCell="E20" sqref="E20"/>
    </sheetView>
  </sheetViews>
  <sheetFormatPr defaultColWidth="8.25" defaultRowHeight="74.25" customHeight="1"/>
  <cols>
    <col min="1" max="1" width="8.125" style="14" customWidth="1"/>
    <col min="2" max="2" width="12.5" style="1" customWidth="1"/>
    <col min="3" max="3" width="9.25" style="1" bestFit="1" customWidth="1"/>
    <col min="4" max="7" width="11.5" style="1" bestFit="1" customWidth="1"/>
    <col min="8" max="8" width="9.125" style="1" customWidth="1"/>
    <col min="9" max="10" width="11.5" style="1" bestFit="1" customWidth="1"/>
    <col min="11" max="11" width="13" style="1" customWidth="1"/>
    <col min="12" max="15" width="6.625" style="1" customWidth="1"/>
    <col min="16" max="16" width="7.375" style="1" customWidth="1"/>
    <col min="17" max="17" width="12.75" style="1" customWidth="1"/>
    <col min="18" max="18" width="7.25" style="1" customWidth="1"/>
    <col min="19" max="20" width="11.5" style="1" bestFit="1" customWidth="1"/>
    <col min="21" max="21" width="10.125" style="1" customWidth="1"/>
    <col min="22" max="22" width="17.25" style="1" bestFit="1" customWidth="1"/>
    <col min="23" max="16384" width="8.25" style="1"/>
  </cols>
  <sheetData>
    <row r="1" spans="1:22" s="2" customFormat="1" ht="33" customHeight="1">
      <c r="A1" s="787" t="s">
        <v>424</v>
      </c>
      <c r="B1" s="787"/>
      <c r="C1" s="787"/>
      <c r="D1" s="787"/>
      <c r="E1" s="787"/>
      <c r="F1" s="787"/>
      <c r="G1" s="787"/>
      <c r="H1" s="787"/>
      <c r="I1" s="787"/>
      <c r="J1" s="787"/>
      <c r="K1" s="813" t="s">
        <v>425</v>
      </c>
      <c r="L1" s="813"/>
      <c r="M1" s="813"/>
      <c r="N1" s="813"/>
      <c r="O1" s="813"/>
      <c r="P1" s="813"/>
      <c r="Q1" s="813"/>
      <c r="R1" s="813"/>
      <c r="S1" s="813"/>
      <c r="T1" s="813"/>
      <c r="U1" s="813"/>
    </row>
    <row r="2" spans="1:22" s="2" customFormat="1" ht="33" customHeight="1">
      <c r="A2" s="894" t="s">
        <v>426</v>
      </c>
      <c r="B2" s="894"/>
      <c r="C2" s="894"/>
      <c r="D2" s="894"/>
      <c r="E2" s="894"/>
      <c r="F2" s="894"/>
      <c r="G2" s="894"/>
      <c r="H2" s="894"/>
      <c r="I2" s="894"/>
      <c r="J2" s="894"/>
      <c r="K2" s="792" t="s">
        <v>427</v>
      </c>
      <c r="L2" s="792"/>
      <c r="M2" s="792"/>
      <c r="N2" s="792"/>
      <c r="O2" s="792"/>
      <c r="P2" s="792"/>
      <c r="Q2" s="792"/>
      <c r="R2" s="792"/>
      <c r="S2" s="792"/>
      <c r="T2" s="883" t="s">
        <v>428</v>
      </c>
      <c r="U2" s="883"/>
    </row>
    <row r="3" spans="1:22" ht="39.950000000000003" customHeight="1">
      <c r="A3" s="782" t="s">
        <v>48</v>
      </c>
      <c r="B3" s="783" t="s">
        <v>1001</v>
      </c>
      <c r="C3" s="784"/>
      <c r="D3" s="784"/>
      <c r="E3" s="784"/>
      <c r="F3" s="785"/>
      <c r="G3" s="783" t="s">
        <v>429</v>
      </c>
      <c r="H3" s="784"/>
      <c r="I3" s="784"/>
      <c r="J3" s="784"/>
      <c r="K3" s="785"/>
      <c r="L3" s="783" t="s">
        <v>430</v>
      </c>
      <c r="M3" s="784"/>
      <c r="N3" s="784"/>
      <c r="O3" s="784"/>
      <c r="P3" s="785"/>
      <c r="Q3" s="783" t="s">
        <v>431</v>
      </c>
      <c r="R3" s="784"/>
      <c r="S3" s="784"/>
      <c r="T3" s="784"/>
      <c r="U3" s="784"/>
    </row>
    <row r="4" spans="1:22" ht="39.950000000000003" customHeight="1">
      <c r="A4" s="782"/>
      <c r="B4" s="162" t="s">
        <v>49</v>
      </c>
      <c r="C4" s="166" t="s">
        <v>432</v>
      </c>
      <c r="D4" s="166" t="s">
        <v>433</v>
      </c>
      <c r="E4" s="160" t="s">
        <v>434</v>
      </c>
      <c r="F4" s="166" t="s">
        <v>59</v>
      </c>
      <c r="G4" s="162" t="s">
        <v>49</v>
      </c>
      <c r="H4" s="166" t="s">
        <v>432</v>
      </c>
      <c r="I4" s="166" t="s">
        <v>433</v>
      </c>
      <c r="J4" s="160" t="s">
        <v>434</v>
      </c>
      <c r="K4" s="161" t="s">
        <v>59</v>
      </c>
      <c r="L4" s="162" t="s">
        <v>49</v>
      </c>
      <c r="M4" s="166" t="s">
        <v>432</v>
      </c>
      <c r="N4" s="166" t="s">
        <v>433</v>
      </c>
      <c r="O4" s="160" t="s">
        <v>434</v>
      </c>
      <c r="P4" s="166" t="s">
        <v>59</v>
      </c>
      <c r="Q4" s="162" t="s">
        <v>49</v>
      </c>
      <c r="R4" s="166" t="s">
        <v>432</v>
      </c>
      <c r="S4" s="166" t="s">
        <v>433</v>
      </c>
      <c r="T4" s="160" t="s">
        <v>434</v>
      </c>
      <c r="U4" s="160" t="s">
        <v>59</v>
      </c>
      <c r="V4" s="61" t="s">
        <v>423</v>
      </c>
    </row>
    <row r="5" spans="1:22" ht="51.4" customHeight="1">
      <c r="A5" s="163" t="s">
        <v>61</v>
      </c>
      <c r="B5" s="176">
        <f t="shared" ref="B5:K5" si="0">SUM(B6:B16)</f>
        <v>1180243753</v>
      </c>
      <c r="C5" s="176">
        <f t="shared" si="0"/>
        <v>990774</v>
      </c>
      <c r="D5" s="176">
        <f t="shared" si="0"/>
        <v>554092185</v>
      </c>
      <c r="E5" s="176">
        <f t="shared" si="0"/>
        <v>429987352</v>
      </c>
      <c r="F5" s="176">
        <f t="shared" si="0"/>
        <v>195173442</v>
      </c>
      <c r="G5" s="176">
        <f t="shared" si="0"/>
        <v>859692124</v>
      </c>
      <c r="H5" s="176">
        <f t="shared" si="0"/>
        <v>981243</v>
      </c>
      <c r="I5" s="176">
        <f t="shared" si="0"/>
        <v>352619304</v>
      </c>
      <c r="J5" s="176">
        <f t="shared" si="0"/>
        <v>323994203</v>
      </c>
      <c r="K5" s="176">
        <f t="shared" si="0"/>
        <v>182097375</v>
      </c>
      <c r="L5" s="177">
        <f t="shared" ref="L5:P16" si="1">ROUND(G5/B5*100,2)</f>
        <v>72.84</v>
      </c>
      <c r="M5" s="177">
        <f t="shared" si="1"/>
        <v>99.04</v>
      </c>
      <c r="N5" s="177">
        <f t="shared" si="1"/>
        <v>63.64</v>
      </c>
      <c r="O5" s="177">
        <f t="shared" si="1"/>
        <v>75.349999999999994</v>
      </c>
      <c r="P5" s="177">
        <f t="shared" si="1"/>
        <v>93.3</v>
      </c>
      <c r="Q5" s="178">
        <f>SUM(Q6:Q16)-1</f>
        <v>320551629</v>
      </c>
      <c r="R5" s="178">
        <f>SUM(R6:R16)</f>
        <v>9531</v>
      </c>
      <c r="S5" s="178">
        <f>SUM(S6:S16)</f>
        <v>201472882</v>
      </c>
      <c r="T5" s="178">
        <f>SUM(T6:T16)</f>
        <v>105993149</v>
      </c>
      <c r="U5" s="178">
        <f>SUM(U6:U16)</f>
        <v>13076068</v>
      </c>
      <c r="V5" s="143">
        <f>SUM(B5:K15)-SUM(B16:K16)+SUM(Q5:U15)-SUM(Q16:U16)-SUM('[2]39作業收支(累計)-OK'!$B$5:$K$16)-SUM('[2]39作業收支(累計)-OK'!$Q$5:$U$16)</f>
        <v>0</v>
      </c>
    </row>
    <row r="6" spans="1:22" ht="51.4" customHeight="1">
      <c r="A6" s="179" t="s">
        <v>435</v>
      </c>
      <c r="B6" s="178">
        <f>SUM(C6:F6)</f>
        <v>569102279</v>
      </c>
      <c r="C6" s="178">
        <f>0+239631+42287+70654+72465-2920-5201-5751+51593+59134+12217</f>
        <v>534109</v>
      </c>
      <c r="D6" s="178">
        <f>170848587+25171199+25557733+25754994+26398583</f>
        <v>273731096</v>
      </c>
      <c r="E6" s="178">
        <f>129885570+19970169+20194465+20664367+20589674</f>
        <v>211304245</v>
      </c>
      <c r="F6" s="178">
        <f>51657339+7871783+7588338+7993780+8421589</f>
        <v>83532829</v>
      </c>
      <c r="G6" s="178">
        <f t="shared" ref="G6:G10" si="2">SUM(H6:K6)</f>
        <v>194675468</v>
      </c>
      <c r="H6" s="178">
        <f>0+0+60141+28966+38278+38023+61316+72931+52682+55542+58267+45177</f>
        <v>511323</v>
      </c>
      <c r="I6" s="178">
        <f>25026630+7395122+8717057+10097046+11555525</f>
        <v>62791380</v>
      </c>
      <c r="J6" s="178">
        <f>34059362+9596790+10534010+11577533+12703381</f>
        <v>78471076</v>
      </c>
      <c r="K6" s="178">
        <f>27322707+6375813+6241844+6596168+6365157</f>
        <v>52901689</v>
      </c>
      <c r="L6" s="177">
        <f t="shared" si="1"/>
        <v>34.21</v>
      </c>
      <c r="M6" s="180">
        <f t="shared" si="1"/>
        <v>95.73</v>
      </c>
      <c r="N6" s="177">
        <f t="shared" si="1"/>
        <v>22.94</v>
      </c>
      <c r="O6" s="177">
        <f t="shared" si="1"/>
        <v>37.14</v>
      </c>
      <c r="P6" s="177">
        <f t="shared" si="1"/>
        <v>63.33</v>
      </c>
      <c r="Q6" s="178">
        <f t="shared" ref="Q6:Q10" si="3">SUM(R6:U6)</f>
        <v>374426811</v>
      </c>
      <c r="R6" s="178">
        <f t="shared" ref="R6:U16" si="4">C6-H6</f>
        <v>22786</v>
      </c>
      <c r="S6" s="178">
        <f t="shared" si="4"/>
        <v>210939716</v>
      </c>
      <c r="T6" s="178">
        <f t="shared" si="4"/>
        <v>132833169</v>
      </c>
      <c r="U6" s="178">
        <f t="shared" si="4"/>
        <v>30631140</v>
      </c>
      <c r="V6" s="181" t="s">
        <v>445</v>
      </c>
    </row>
    <row r="7" spans="1:22" ht="51.4" customHeight="1">
      <c r="A7" s="58" t="s">
        <v>3</v>
      </c>
      <c r="B7" s="181">
        <f t="shared" ref="B7:B16" si="5">SUM(C7:F7)</f>
        <v>56805040</v>
      </c>
      <c r="C7" s="181">
        <v>48058</v>
      </c>
      <c r="D7" s="181">
        <v>27119177</v>
      </c>
      <c r="E7" s="181">
        <v>20733856</v>
      </c>
      <c r="F7" s="181">
        <v>8903949</v>
      </c>
      <c r="G7" s="181">
        <f t="shared" si="2"/>
        <v>35544169</v>
      </c>
      <c r="H7" s="181">
        <v>44668</v>
      </c>
      <c r="I7" s="181">
        <v>13712299</v>
      </c>
      <c r="J7" s="181">
        <v>14054334</v>
      </c>
      <c r="K7" s="181">
        <v>7732868</v>
      </c>
      <c r="L7" s="177">
        <f t="shared" si="1"/>
        <v>62.57</v>
      </c>
      <c r="M7" s="181" t="s">
        <v>436</v>
      </c>
      <c r="N7" s="177">
        <f t="shared" si="1"/>
        <v>50.56</v>
      </c>
      <c r="O7" s="177">
        <f t="shared" si="1"/>
        <v>67.78</v>
      </c>
      <c r="P7" s="177">
        <f t="shared" si="1"/>
        <v>86.85</v>
      </c>
      <c r="Q7" s="181">
        <f t="shared" si="3"/>
        <v>21260871</v>
      </c>
      <c r="R7" s="181">
        <f t="shared" si="4"/>
        <v>3390</v>
      </c>
      <c r="S7" s="181">
        <f t="shared" si="4"/>
        <v>13406878</v>
      </c>
      <c r="T7" s="181">
        <f t="shared" si="4"/>
        <v>6679522</v>
      </c>
      <c r="U7" s="181">
        <f t="shared" si="4"/>
        <v>1171081</v>
      </c>
      <c r="V7" s="143">
        <f>SUM(L7:P15)-SUM('[2]39作業收支(累計)-OK'!$L$8:$P$16)</f>
        <v>0</v>
      </c>
    </row>
    <row r="8" spans="1:22" ht="51.4" customHeight="1">
      <c r="A8" s="58" t="s">
        <v>4</v>
      </c>
      <c r="B8" s="182">
        <f t="shared" si="5"/>
        <v>57675440</v>
      </c>
      <c r="C8" s="181">
        <v>40608</v>
      </c>
      <c r="D8" s="181">
        <v>27246057</v>
      </c>
      <c r="E8" s="181">
        <v>21187715</v>
      </c>
      <c r="F8" s="181">
        <v>9201060</v>
      </c>
      <c r="G8" s="181">
        <f t="shared" si="2"/>
        <v>42601731</v>
      </c>
      <c r="H8" s="181">
        <v>47197</v>
      </c>
      <c r="I8" s="181">
        <v>16698819</v>
      </c>
      <c r="J8" s="181">
        <v>15984883</v>
      </c>
      <c r="K8" s="181">
        <v>9870832</v>
      </c>
      <c r="L8" s="177">
        <f t="shared" si="1"/>
        <v>73.86</v>
      </c>
      <c r="M8" s="181" t="s">
        <v>436</v>
      </c>
      <c r="N8" s="177">
        <f t="shared" si="1"/>
        <v>61.29</v>
      </c>
      <c r="O8" s="177">
        <f t="shared" si="1"/>
        <v>75.44</v>
      </c>
      <c r="P8" s="177">
        <f t="shared" si="1"/>
        <v>107.28</v>
      </c>
      <c r="Q8" s="181">
        <f t="shared" si="3"/>
        <v>15073709</v>
      </c>
      <c r="R8" s="181">
        <f t="shared" si="4"/>
        <v>-6589</v>
      </c>
      <c r="S8" s="181">
        <f t="shared" si="4"/>
        <v>10547238</v>
      </c>
      <c r="T8" s="181">
        <f t="shared" si="4"/>
        <v>5202832</v>
      </c>
      <c r="U8" s="181">
        <f t="shared" si="4"/>
        <v>-669772</v>
      </c>
      <c r="V8" s="181"/>
    </row>
    <row r="9" spans="1:22" ht="51.4" customHeight="1">
      <c r="A9" s="58" t="s">
        <v>5</v>
      </c>
      <c r="B9" s="182">
        <f t="shared" si="5"/>
        <v>59046402</v>
      </c>
      <c r="C9" s="181">
        <v>46134</v>
      </c>
      <c r="D9" s="181">
        <v>27627958</v>
      </c>
      <c r="E9" s="181">
        <v>21566920</v>
      </c>
      <c r="F9" s="181">
        <v>9805390</v>
      </c>
      <c r="G9" s="181">
        <f t="shared" si="2"/>
        <v>50147619</v>
      </c>
      <c r="H9" s="181">
        <v>45484</v>
      </c>
      <c r="I9" s="181">
        <v>20225256</v>
      </c>
      <c r="J9" s="181">
        <v>18310673</v>
      </c>
      <c r="K9" s="181">
        <v>11566206</v>
      </c>
      <c r="L9" s="177">
        <f t="shared" si="1"/>
        <v>84.93</v>
      </c>
      <c r="M9" s="181" t="s">
        <v>436</v>
      </c>
      <c r="N9" s="177">
        <f t="shared" si="1"/>
        <v>73.209999999999994</v>
      </c>
      <c r="O9" s="177">
        <f t="shared" si="1"/>
        <v>84.9</v>
      </c>
      <c r="P9" s="177">
        <f t="shared" si="1"/>
        <v>117.96</v>
      </c>
      <c r="Q9" s="181">
        <f t="shared" si="3"/>
        <v>8898783</v>
      </c>
      <c r="R9" s="181">
        <f t="shared" si="4"/>
        <v>650</v>
      </c>
      <c r="S9" s="181">
        <f t="shared" si="4"/>
        <v>7402702</v>
      </c>
      <c r="T9" s="181">
        <f t="shared" si="4"/>
        <v>3256247</v>
      </c>
      <c r="U9" s="181">
        <f t="shared" si="4"/>
        <v>-1760816</v>
      </c>
      <c r="V9" s="181"/>
    </row>
    <row r="10" spans="1:22" ht="51.4" customHeight="1">
      <c r="A10" s="58" t="s">
        <v>6</v>
      </c>
      <c r="B10" s="182">
        <f t="shared" si="5"/>
        <v>59250545</v>
      </c>
      <c r="C10" s="181">
        <v>42338</v>
      </c>
      <c r="D10" s="181">
        <v>27784198</v>
      </c>
      <c r="E10" s="181">
        <v>21768522</v>
      </c>
      <c r="F10" s="181">
        <v>9655487</v>
      </c>
      <c r="G10" s="181">
        <f t="shared" si="2"/>
        <v>57728247</v>
      </c>
      <c r="H10" s="181">
        <v>46303</v>
      </c>
      <c r="I10" s="181">
        <v>23573134</v>
      </c>
      <c r="J10" s="181">
        <v>20486592</v>
      </c>
      <c r="K10" s="181">
        <v>13622218</v>
      </c>
      <c r="L10" s="177">
        <f t="shared" si="1"/>
        <v>97.43</v>
      </c>
      <c r="M10" s="181" t="s">
        <v>436</v>
      </c>
      <c r="N10" s="177">
        <f t="shared" si="1"/>
        <v>84.84</v>
      </c>
      <c r="O10" s="177">
        <f t="shared" si="1"/>
        <v>94.11</v>
      </c>
      <c r="P10" s="177">
        <f t="shared" si="1"/>
        <v>141.08000000000001</v>
      </c>
      <c r="Q10" s="181">
        <f t="shared" si="3"/>
        <v>1522298</v>
      </c>
      <c r="R10" s="181">
        <f t="shared" si="4"/>
        <v>-3965</v>
      </c>
      <c r="S10" s="181">
        <f t="shared" si="4"/>
        <v>4211064</v>
      </c>
      <c r="T10" s="181">
        <f t="shared" si="4"/>
        <v>1281930</v>
      </c>
      <c r="U10" s="181">
        <f t="shared" si="4"/>
        <v>-3966731</v>
      </c>
      <c r="V10" s="181"/>
    </row>
    <row r="11" spans="1:22" ht="51.4" customHeight="1">
      <c r="A11" s="58" t="s">
        <v>246</v>
      </c>
      <c r="B11" s="182">
        <f t="shared" si="5"/>
        <v>59658834</v>
      </c>
      <c r="C11" s="181">
        <v>43937</v>
      </c>
      <c r="D11" s="181">
        <v>27921999</v>
      </c>
      <c r="E11" s="181">
        <v>21976239</v>
      </c>
      <c r="F11" s="181">
        <v>9716659</v>
      </c>
      <c r="G11" s="181">
        <f>SUM(H11:K11)</f>
        <v>63022530</v>
      </c>
      <c r="H11" s="181">
        <v>47547</v>
      </c>
      <c r="I11" s="181">
        <v>26939715</v>
      </c>
      <c r="J11" s="181">
        <f>22445266+1</f>
        <v>22445267</v>
      </c>
      <c r="K11" s="181">
        <f>13590001</f>
        <v>13590001</v>
      </c>
      <c r="L11" s="177">
        <f>ROUND(G11/B11*100,2)</f>
        <v>105.64</v>
      </c>
      <c r="M11" s="181" t="s">
        <v>436</v>
      </c>
      <c r="N11" s="177">
        <f t="shared" si="1"/>
        <v>96.48</v>
      </c>
      <c r="O11" s="177">
        <f t="shared" si="1"/>
        <v>102.13</v>
      </c>
      <c r="P11" s="177">
        <f t="shared" si="1"/>
        <v>139.86000000000001</v>
      </c>
      <c r="Q11" s="181">
        <f>SUM(R11:U11)</f>
        <v>-3363696</v>
      </c>
      <c r="R11" s="181">
        <f t="shared" si="4"/>
        <v>-3610</v>
      </c>
      <c r="S11" s="181">
        <f t="shared" si="4"/>
        <v>982284</v>
      </c>
      <c r="T11" s="181">
        <f t="shared" si="4"/>
        <v>-469028</v>
      </c>
      <c r="U11" s="181">
        <f t="shared" si="4"/>
        <v>-3873342</v>
      </c>
      <c r="V11" s="181"/>
    </row>
    <row r="12" spans="1:22" ht="51.4" customHeight="1">
      <c r="A12" s="58" t="s">
        <v>55</v>
      </c>
      <c r="B12" s="182">
        <f>SUM(C12:F12)</f>
        <v>59729631</v>
      </c>
      <c r="C12" s="181">
        <v>45461</v>
      </c>
      <c r="D12" s="181">
        <v>27834049</v>
      </c>
      <c r="E12" s="181">
        <v>22017591</v>
      </c>
      <c r="F12" s="181">
        <v>9832530</v>
      </c>
      <c r="G12" s="181">
        <f>SUM(H12:K12)</f>
        <v>70034840</v>
      </c>
      <c r="H12" s="181">
        <v>48989</v>
      </c>
      <c r="I12" s="181">
        <v>30561589</v>
      </c>
      <c r="J12" s="181">
        <v>24931853</v>
      </c>
      <c r="K12" s="181">
        <v>14492409</v>
      </c>
      <c r="L12" s="177">
        <f>ROUND(G12/B12*100,2)</f>
        <v>117.25</v>
      </c>
      <c r="M12" s="181" t="s">
        <v>436</v>
      </c>
      <c r="N12" s="177">
        <f t="shared" si="1"/>
        <v>109.8</v>
      </c>
      <c r="O12" s="177">
        <f t="shared" si="1"/>
        <v>113.24</v>
      </c>
      <c r="P12" s="177">
        <f t="shared" si="1"/>
        <v>147.38999999999999</v>
      </c>
      <c r="Q12" s="181">
        <f>SUM(R12:U12)</f>
        <v>-10305209</v>
      </c>
      <c r="R12" s="181">
        <f t="shared" si="4"/>
        <v>-3528</v>
      </c>
      <c r="S12" s="181">
        <f t="shared" si="4"/>
        <v>-2727540</v>
      </c>
      <c r="T12" s="181">
        <f t="shared" si="4"/>
        <v>-2914262</v>
      </c>
      <c r="U12" s="181">
        <f t="shared" si="4"/>
        <v>-4659879</v>
      </c>
      <c r="V12" s="181"/>
    </row>
    <row r="13" spans="1:22" ht="51.4" customHeight="1">
      <c r="A13" s="58" t="s">
        <v>99</v>
      </c>
      <c r="B13" s="182">
        <f t="shared" ref="B13:B14" si="6">SUM(C13:F13)</f>
        <v>59607094</v>
      </c>
      <c r="C13" s="181">
        <v>44795</v>
      </c>
      <c r="D13" s="181">
        <v>27738774</v>
      </c>
      <c r="E13" s="181">
        <v>21935065</v>
      </c>
      <c r="F13" s="181">
        <v>9888460</v>
      </c>
      <c r="G13" s="181">
        <f t="shared" ref="G13:G14" si="7">SUM(H13:K13)</f>
        <v>78583980</v>
      </c>
      <c r="H13" s="181">
        <v>48138</v>
      </c>
      <c r="I13" s="181">
        <v>34652073</v>
      </c>
      <c r="J13" s="181">
        <v>27909447</v>
      </c>
      <c r="K13" s="181">
        <v>15974322</v>
      </c>
      <c r="L13" s="177">
        <f t="shared" ref="L13:L15" si="8">ROUND(G13/B13*100,2)</f>
        <v>131.84</v>
      </c>
      <c r="M13" s="181" t="s">
        <v>437</v>
      </c>
      <c r="N13" s="177">
        <f t="shared" si="1"/>
        <v>124.92</v>
      </c>
      <c r="O13" s="177">
        <f t="shared" si="1"/>
        <v>127.24</v>
      </c>
      <c r="P13" s="177">
        <f t="shared" si="1"/>
        <v>161.55000000000001</v>
      </c>
      <c r="Q13" s="181">
        <f t="shared" ref="Q13" si="9">SUM(R13:U13)</f>
        <v>-18976886</v>
      </c>
      <c r="R13" s="181">
        <f t="shared" si="4"/>
        <v>-3343</v>
      </c>
      <c r="S13" s="181">
        <f t="shared" si="4"/>
        <v>-6913299</v>
      </c>
      <c r="T13" s="181">
        <f t="shared" si="4"/>
        <v>-5974382</v>
      </c>
      <c r="U13" s="181">
        <f t="shared" si="4"/>
        <v>-6085862</v>
      </c>
      <c r="V13" s="181"/>
    </row>
    <row r="14" spans="1:22" ht="51.4" customHeight="1">
      <c r="A14" s="58" t="s">
        <v>98</v>
      </c>
      <c r="B14" s="182">
        <f t="shared" si="6"/>
        <v>59713293</v>
      </c>
      <c r="C14" s="181">
        <v>52483</v>
      </c>
      <c r="D14" s="181">
        <v>28011263</v>
      </c>
      <c r="E14" s="181">
        <v>21846966</v>
      </c>
      <c r="F14" s="181">
        <v>9802581</v>
      </c>
      <c r="G14" s="181">
        <f t="shared" si="7"/>
        <v>86614879</v>
      </c>
      <c r="H14" s="181">
        <v>47223</v>
      </c>
      <c r="I14" s="181">
        <v>38124486</v>
      </c>
      <c r="J14" s="181">
        <v>31008544</v>
      </c>
      <c r="K14" s="181">
        <v>17434626</v>
      </c>
      <c r="L14" s="177">
        <f t="shared" si="8"/>
        <v>145.05000000000001</v>
      </c>
      <c r="M14" s="181" t="s">
        <v>436</v>
      </c>
      <c r="N14" s="177">
        <f t="shared" si="1"/>
        <v>136.1</v>
      </c>
      <c r="O14" s="177">
        <f t="shared" si="1"/>
        <v>141.94</v>
      </c>
      <c r="P14" s="177">
        <f t="shared" si="1"/>
        <v>177.86</v>
      </c>
      <c r="Q14" s="181">
        <f t="shared" ref="Q14" si="10">SUM(R14:U14)</f>
        <v>-26901585</v>
      </c>
      <c r="R14" s="181">
        <f t="shared" si="4"/>
        <v>5260</v>
      </c>
      <c r="S14" s="181">
        <f>D14-I14+1</f>
        <v>-10113222</v>
      </c>
      <c r="T14" s="181">
        <f t="shared" si="4"/>
        <v>-9161578</v>
      </c>
      <c r="U14" s="181">
        <f t="shared" si="4"/>
        <v>-7632045</v>
      </c>
      <c r="V14" s="181"/>
    </row>
    <row r="15" spans="1:22" ht="51.4" customHeight="1">
      <c r="A15" s="58" t="s">
        <v>189</v>
      </c>
      <c r="B15" s="182">
        <f t="shared" ref="B15" si="11">SUM(C15:F15)</f>
        <v>65841229</v>
      </c>
      <c r="C15" s="181">
        <v>47761</v>
      </c>
      <c r="D15" s="181">
        <v>29272170</v>
      </c>
      <c r="E15" s="181">
        <v>22790755</v>
      </c>
      <c r="F15" s="181">
        <v>13730543</v>
      </c>
      <c r="G15" s="181">
        <f>SUM(H15:K15)-1</f>
        <v>90463497</v>
      </c>
      <c r="H15" s="181">
        <v>48714</v>
      </c>
      <c r="I15" s="181">
        <v>42009498</v>
      </c>
      <c r="J15" s="181">
        <v>34281744</v>
      </c>
      <c r="K15" s="181">
        <v>14123542</v>
      </c>
      <c r="L15" s="177">
        <f t="shared" si="8"/>
        <v>137.4</v>
      </c>
      <c r="M15" s="181" t="s">
        <v>436</v>
      </c>
      <c r="N15" s="177">
        <f t="shared" si="1"/>
        <v>143.51</v>
      </c>
      <c r="O15" s="177">
        <f t="shared" si="1"/>
        <v>150.41999999999999</v>
      </c>
      <c r="P15" s="177">
        <f t="shared" si="1"/>
        <v>102.86</v>
      </c>
      <c r="Q15" s="181">
        <f>SUM(R15:U15)</f>
        <v>-24622268</v>
      </c>
      <c r="R15" s="181">
        <f t="shared" si="4"/>
        <v>-953</v>
      </c>
      <c r="S15" s="181">
        <f>D15-I15</f>
        <v>-12737328</v>
      </c>
      <c r="T15" s="181">
        <f t="shared" si="4"/>
        <v>-11490989</v>
      </c>
      <c r="U15" s="181">
        <f>F15-K15+1</f>
        <v>-392998</v>
      </c>
      <c r="V15" s="181"/>
    </row>
    <row r="16" spans="1:22" ht="51.4" customHeight="1">
      <c r="A16" s="164" t="s">
        <v>367</v>
      </c>
      <c r="B16" s="183">
        <f t="shared" si="5"/>
        <v>73813966</v>
      </c>
      <c r="C16" s="184">
        <v>45090</v>
      </c>
      <c r="D16" s="184">
        <v>29805444</v>
      </c>
      <c r="E16" s="184">
        <v>22859478</v>
      </c>
      <c r="F16" s="184">
        <v>21103954</v>
      </c>
      <c r="G16" s="184">
        <f>SUM(H16:K16)</f>
        <v>90275164</v>
      </c>
      <c r="H16" s="184">
        <v>45657</v>
      </c>
      <c r="I16" s="184">
        <v>43331055</v>
      </c>
      <c r="J16" s="184">
        <v>36109790</v>
      </c>
      <c r="K16" s="184">
        <v>10788662</v>
      </c>
      <c r="L16" s="185">
        <f t="shared" si="1"/>
        <v>122.3</v>
      </c>
      <c r="M16" s="184" t="s">
        <v>436</v>
      </c>
      <c r="N16" s="185">
        <f t="shared" si="1"/>
        <v>145.38</v>
      </c>
      <c r="O16" s="185">
        <f t="shared" si="1"/>
        <v>157.96</v>
      </c>
      <c r="P16" s="185">
        <f t="shared" si="1"/>
        <v>51.12</v>
      </c>
      <c r="Q16" s="184">
        <f>SUM(R16:U16)</f>
        <v>-16461198</v>
      </c>
      <c r="R16" s="184">
        <f t="shared" si="4"/>
        <v>-567</v>
      </c>
      <c r="S16" s="184">
        <f>D16-I16</f>
        <v>-13525611</v>
      </c>
      <c r="T16" s="184">
        <f t="shared" si="4"/>
        <v>-13250312</v>
      </c>
      <c r="U16" s="184">
        <f>F16-K16</f>
        <v>10315292</v>
      </c>
      <c r="V16" s="181"/>
    </row>
    <row r="17" spans="1:22" s="62" customFormat="1" ht="24" customHeight="1">
      <c r="A17" s="61" t="s">
        <v>438</v>
      </c>
      <c r="B17" s="181"/>
      <c r="C17" s="181"/>
      <c r="D17" s="181"/>
      <c r="E17" s="181"/>
      <c r="F17" s="181"/>
      <c r="G17" s="181"/>
      <c r="H17" s="181"/>
      <c r="I17" s="181"/>
      <c r="J17" s="181"/>
      <c r="K17" s="181"/>
      <c r="L17" s="181"/>
      <c r="M17" s="181"/>
      <c r="N17" s="181"/>
      <c r="O17" s="181"/>
      <c r="P17" s="181"/>
      <c r="Q17" s="181"/>
      <c r="R17" s="181"/>
      <c r="S17" s="181"/>
      <c r="T17" s="181"/>
      <c r="U17" s="181"/>
      <c r="V17" s="181"/>
    </row>
    <row r="18" spans="1:22" ht="16.5">
      <c r="A18" s="14" t="s">
        <v>439</v>
      </c>
      <c r="B18" s="181">
        <f>SUM(B6:U14)-SUM('[1]39作業收支(累計)'!$B$6:$U$16)</f>
        <v>-440.43999910354614</v>
      </c>
      <c r="C18" s="181"/>
      <c r="D18" s="181"/>
      <c r="E18" s="181"/>
      <c r="F18" s="181"/>
      <c r="G18" s="181"/>
      <c r="H18" s="181"/>
      <c r="I18" s="181"/>
      <c r="J18" s="181"/>
      <c r="K18" s="181"/>
      <c r="L18" s="181"/>
      <c r="M18" s="181"/>
      <c r="N18" s="181"/>
      <c r="O18" s="181"/>
      <c r="P18" s="181"/>
      <c r="Q18" s="181"/>
      <c r="R18" s="181"/>
      <c r="S18" s="181"/>
      <c r="T18" s="181"/>
      <c r="U18" s="181"/>
      <c r="V18" s="181"/>
    </row>
    <row r="19" spans="1:22" ht="16.5">
      <c r="A19" s="186" t="s">
        <v>440</v>
      </c>
      <c r="B19" s="181">
        <f>B18-V23</f>
        <v>-166266425.38999909</v>
      </c>
      <c r="C19" s="181"/>
      <c r="D19" s="181"/>
      <c r="E19" s="181"/>
      <c r="F19" s="181"/>
      <c r="G19" s="181" t="e">
        <f>G16-#REF!</f>
        <v>#REF!</v>
      </c>
      <c r="H19" s="181">
        <f>H16-'[3]40支出(政)(政府別)-性別'!B5</f>
        <v>45657</v>
      </c>
      <c r="I19" s="181">
        <f>I16-'[3]41支出(公)(政府別)-性別'!B5</f>
        <v>43331055</v>
      </c>
      <c r="J19" s="181">
        <f>J16-'[3]42支出(教)(政府別)-性別'!B6</f>
        <v>36109790</v>
      </c>
      <c r="K19" s="181">
        <f>K16-'[3]47支出(軍)-OK'!B15</f>
        <v>10788662</v>
      </c>
      <c r="L19" s="181"/>
      <c r="M19" s="181"/>
      <c r="N19" s="181"/>
      <c r="O19" s="181"/>
      <c r="P19" s="181"/>
      <c r="Q19" s="181"/>
      <c r="R19" s="181"/>
      <c r="S19" s="181"/>
      <c r="T19" s="181"/>
      <c r="U19" s="181"/>
      <c r="V19" s="181"/>
    </row>
    <row r="20" spans="1:22" ht="16.5">
      <c r="A20" s="14" t="s">
        <v>441</v>
      </c>
      <c r="B20" s="181">
        <v>1040588558</v>
      </c>
      <c r="C20" s="181">
        <v>897923</v>
      </c>
      <c r="D20" s="181">
        <v>495014571</v>
      </c>
      <c r="E20" s="181">
        <v>384337119</v>
      </c>
      <c r="F20" s="181">
        <v>160338945</v>
      </c>
      <c r="G20" s="181">
        <v>678953463</v>
      </c>
      <c r="H20" s="181">
        <v>886872</v>
      </c>
      <c r="I20" s="181">
        <v>267278751</v>
      </c>
      <c r="J20" s="181">
        <v>253602669</v>
      </c>
      <c r="K20" s="181">
        <v>157185171</v>
      </c>
      <c r="L20" s="181"/>
      <c r="M20" s="181"/>
      <c r="N20" s="181"/>
      <c r="O20" s="181"/>
      <c r="P20" s="181"/>
      <c r="Q20" s="181">
        <v>361635096</v>
      </c>
      <c r="R20" s="181">
        <v>11051</v>
      </c>
      <c r="S20" s="181">
        <v>227735821</v>
      </c>
      <c r="T20" s="181">
        <v>130734450</v>
      </c>
      <c r="U20" s="181">
        <v>3153774</v>
      </c>
      <c r="V20" s="181"/>
    </row>
    <row r="21" spans="1:22" ht="16.5">
      <c r="A21" s="14" t="s">
        <v>442</v>
      </c>
      <c r="B21" s="181">
        <f>B20+B16</f>
        <v>1114402524</v>
      </c>
      <c r="C21" s="181">
        <f t="shared" ref="C21:U21" si="12">C20+C16</f>
        <v>943013</v>
      </c>
      <c r="D21" s="181">
        <f t="shared" si="12"/>
        <v>524820015</v>
      </c>
      <c r="E21" s="181">
        <f t="shared" si="12"/>
        <v>407196597</v>
      </c>
      <c r="F21" s="181">
        <f t="shared" si="12"/>
        <v>181442899</v>
      </c>
      <c r="G21" s="181">
        <f t="shared" si="12"/>
        <v>769228627</v>
      </c>
      <c r="H21" s="181">
        <f t="shared" si="12"/>
        <v>932529</v>
      </c>
      <c r="I21" s="181">
        <f t="shared" si="12"/>
        <v>310609806</v>
      </c>
      <c r="J21" s="181">
        <f t="shared" si="12"/>
        <v>289712459</v>
      </c>
      <c r="K21" s="181">
        <f t="shared" si="12"/>
        <v>167973833</v>
      </c>
      <c r="L21" s="181"/>
      <c r="M21" s="181"/>
      <c r="N21" s="181"/>
      <c r="O21" s="181"/>
      <c r="P21" s="181"/>
      <c r="Q21" s="181">
        <f t="shared" si="12"/>
        <v>345173898</v>
      </c>
      <c r="R21" s="181">
        <f t="shared" si="12"/>
        <v>10484</v>
      </c>
      <c r="S21" s="181">
        <f t="shared" si="12"/>
        <v>214210210</v>
      </c>
      <c r="T21" s="181">
        <f t="shared" si="12"/>
        <v>117484138</v>
      </c>
      <c r="U21" s="181">
        <f t="shared" si="12"/>
        <v>13469066</v>
      </c>
      <c r="V21" s="181"/>
    </row>
    <row r="22" spans="1:22" ht="16.5">
      <c r="A22" s="14" t="s">
        <v>439</v>
      </c>
      <c r="B22" s="181">
        <f t="shared" ref="B22:K22" si="13">B21-B5</f>
        <v>-65841229</v>
      </c>
      <c r="C22" s="181">
        <f t="shared" si="13"/>
        <v>-47761</v>
      </c>
      <c r="D22" s="181">
        <f t="shared" si="13"/>
        <v>-29272170</v>
      </c>
      <c r="E22" s="181">
        <f t="shared" si="13"/>
        <v>-22790755</v>
      </c>
      <c r="F22" s="181">
        <f t="shared" si="13"/>
        <v>-13730543</v>
      </c>
      <c r="G22" s="181">
        <f t="shared" si="13"/>
        <v>-90463497</v>
      </c>
      <c r="H22" s="181">
        <f t="shared" si="13"/>
        <v>-48714</v>
      </c>
      <c r="I22" s="181">
        <f t="shared" si="13"/>
        <v>-42009498</v>
      </c>
      <c r="J22" s="181">
        <f t="shared" si="13"/>
        <v>-34281744</v>
      </c>
      <c r="K22" s="181">
        <f t="shared" si="13"/>
        <v>-14123542</v>
      </c>
      <c r="L22" s="181"/>
      <c r="M22" s="181"/>
      <c r="N22" s="181"/>
      <c r="O22" s="181"/>
      <c r="P22" s="181"/>
      <c r="Q22" s="181">
        <f>Q21-Q5</f>
        <v>24622269</v>
      </c>
      <c r="R22" s="181">
        <f>R21-R5</f>
        <v>953</v>
      </c>
      <c r="S22" s="181">
        <f>S21-S5</f>
        <v>12737328</v>
      </c>
      <c r="T22" s="181">
        <f>T21-T5</f>
        <v>11490989</v>
      </c>
      <c r="U22" s="181">
        <f>U21-U5</f>
        <v>392998</v>
      </c>
      <c r="V22" s="181"/>
    </row>
    <row r="23" spans="1:22" ht="16.5">
      <c r="A23" s="186" t="s">
        <v>443</v>
      </c>
      <c r="B23" s="181">
        <f>B6-SUM('[8]39作業收支(累計)'!B6:B7)</f>
        <v>0</v>
      </c>
      <c r="C23" s="181">
        <f>C6-SUM('[1]39作業收支(累計)'!C6:C7)</f>
        <v>12217</v>
      </c>
      <c r="D23" s="181">
        <f>D6-SUM('[1]39作業收支(累計)'!D6:D7)</f>
        <v>26398583</v>
      </c>
      <c r="E23" s="181">
        <f>E6-SUM('[1]39作業收支(累計)'!E6:E7)</f>
        <v>20589674</v>
      </c>
      <c r="F23" s="181">
        <f>F6-SUM('[1]39作業收支(累計)'!F6:F7)</f>
        <v>8421589</v>
      </c>
      <c r="G23" s="181">
        <f>G6-SUM('[1]39作業收支(累計)'!G6:G7)</f>
        <v>30669240</v>
      </c>
      <c r="H23" s="181">
        <f>H6-SUM('[1]39作業收支(累計)'!H6:H7)</f>
        <v>45177</v>
      </c>
      <c r="I23" s="181">
        <f>I6-SUM('[1]39作業收支(累計)'!I6:I7)</f>
        <v>11555525</v>
      </c>
      <c r="J23" s="181">
        <f>J6-SUM('[1]39作業收支(累計)'!J6:J7)</f>
        <v>12703381</v>
      </c>
      <c r="K23" s="181">
        <f>K6-SUM('[1]39作業收支(累計)'!K6:K7)</f>
        <v>6365157</v>
      </c>
      <c r="L23" s="181">
        <f>L6-SUM('[1]39作業收支(累計)'!L6:L7)</f>
        <v>-47.35</v>
      </c>
      <c r="M23" s="181">
        <f>M6-SUM('[1]39作業收支(累計)'!M6:M7)</f>
        <v>7.5900000000000034</v>
      </c>
      <c r="N23" s="181">
        <f>N6-SUM('[1]39作業收支(累計)'!N6:N7)</f>
        <v>-34.83</v>
      </c>
      <c r="O23" s="181">
        <f>O6-SUM('[1]39作業收支(累計)'!O6:O7)</f>
        <v>-50.760000000000005</v>
      </c>
      <c r="P23" s="181">
        <f>P6-SUM('[1]39作業收支(累計)'!P6:P7)</f>
        <v>-78.7</v>
      </c>
      <c r="Q23" s="181">
        <f>Q6-SUM('[1]39作業收支(累計)'!Q6:Q7)</f>
        <v>24752823</v>
      </c>
      <c r="R23" s="181">
        <f>R6-SUM('[1]39作業收支(累計)'!R6:R7)</f>
        <v>-32960</v>
      </c>
      <c r="S23" s="181">
        <f>S6-SUM('[1]39作業收支(累計)'!S6:S7)</f>
        <v>14843058</v>
      </c>
      <c r="T23" s="181">
        <f>T6-SUM('[1]39作業收支(累計)'!T6:T7)</f>
        <v>7886293</v>
      </c>
      <c r="U23" s="181">
        <f>U6-SUM('[1]39作業收支(累計)'!U6:U7)</f>
        <v>2056432</v>
      </c>
      <c r="V23" s="181">
        <f>SUM(B23:U23)</f>
        <v>166265984.94999999</v>
      </c>
    </row>
    <row r="24" spans="1:22" ht="33" customHeight="1">
      <c r="B24" s="181"/>
      <c r="C24" s="181"/>
      <c r="D24" s="181"/>
      <c r="E24" s="181"/>
      <c r="F24" s="181"/>
      <c r="G24" s="181">
        <f>G16-'[3]43支出(總)-0'!B15</f>
        <v>90275164</v>
      </c>
      <c r="H24" s="181">
        <f>H16-'[3]44支出(政)-0'!B15</f>
        <v>45657</v>
      </c>
      <c r="I24" s="181">
        <f>I16-'[3]45支出(公)-0'!B14</f>
        <v>1321557</v>
      </c>
      <c r="J24" s="181">
        <f>J16-'[3]46支出(教)-OK  '!B14</f>
        <v>1828046</v>
      </c>
      <c r="K24" s="181">
        <f>K16-'[3]47支出(軍)-OK'!B15</f>
        <v>10788662</v>
      </c>
      <c r="L24" s="181"/>
      <c r="M24" s="181"/>
      <c r="N24" s="181"/>
      <c r="O24" s="181"/>
      <c r="P24" s="181"/>
      <c r="Q24" s="181"/>
      <c r="R24" s="181"/>
      <c r="S24" s="181"/>
      <c r="T24" s="181"/>
      <c r="U24" s="181"/>
      <c r="V24" s="181"/>
    </row>
    <row r="25" spans="1:22" ht="16.5">
      <c r="A25" s="187" t="s">
        <v>444</v>
      </c>
      <c r="B25" s="181">
        <f>B6-SUM('[9]39作業收支(累計)-OK'!B6:B7)</f>
        <v>0</v>
      </c>
      <c r="C25" s="181">
        <f>C6-SUM('[9]39作業收支(累計)-OK'!C6:C7)</f>
        <v>0</v>
      </c>
      <c r="D25" s="181">
        <f>D6-SUM('[9]39作業收支(累計)-OK'!D6:D7)</f>
        <v>0</v>
      </c>
      <c r="E25" s="181">
        <f>E6-SUM('[9]39作業收支(累計)-OK'!E6:E7)</f>
        <v>0</v>
      </c>
      <c r="F25" s="181">
        <f>F6-SUM('[9]39作業收支(累計)-OK'!F6:F7)</f>
        <v>0</v>
      </c>
      <c r="G25" s="181">
        <f>G6-SUM('[9]39作業收支(累計)-OK'!G6:G7)</f>
        <v>0</v>
      </c>
      <c r="H25" s="181">
        <f>H6-SUM('[9]39作業收支(累計)-OK'!H6:H7)</f>
        <v>0</v>
      </c>
      <c r="I25" s="181">
        <f>I6-SUM('[9]39作業收支(累計)-OK'!I6:I7)</f>
        <v>0</v>
      </c>
      <c r="J25" s="181">
        <f>J6-SUM('[9]39作業收支(累計)-OK'!J6:J7)</f>
        <v>0</v>
      </c>
      <c r="K25" s="181">
        <f>K6-SUM('[9]39作業收支(累計)-OK'!K6:K7)</f>
        <v>0</v>
      </c>
      <c r="L25" s="181"/>
      <c r="M25" s="181"/>
      <c r="N25" s="181"/>
      <c r="O25" s="181"/>
      <c r="P25" s="181"/>
      <c r="Q25" s="181"/>
      <c r="R25" s="181"/>
      <c r="S25" s="181"/>
      <c r="T25" s="181"/>
      <c r="U25" s="181"/>
      <c r="V25" s="181"/>
    </row>
    <row r="26" spans="1:22" ht="33" customHeight="1">
      <c r="B26" s="181"/>
      <c r="C26" s="181"/>
      <c r="D26" s="181"/>
      <c r="E26" s="181"/>
      <c r="F26" s="181"/>
      <c r="G26" s="181"/>
      <c r="H26" s="181"/>
      <c r="I26" s="181"/>
      <c r="J26" s="181"/>
      <c r="K26" s="181"/>
      <c r="L26" s="181"/>
      <c r="M26" s="181"/>
      <c r="N26" s="181"/>
      <c r="O26" s="181"/>
      <c r="P26" s="181"/>
      <c r="Q26" s="181"/>
      <c r="R26" s="181"/>
      <c r="S26" s="181"/>
      <c r="T26" s="181"/>
      <c r="U26" s="181"/>
      <c r="V26" s="181"/>
    </row>
    <row r="27" spans="1:22" ht="33" customHeight="1">
      <c r="B27" s="184"/>
      <c r="C27" s="184"/>
      <c r="D27" s="181"/>
      <c r="E27" s="181"/>
      <c r="F27" s="181"/>
      <c r="G27" s="181"/>
      <c r="H27" s="181"/>
      <c r="I27" s="181"/>
      <c r="J27" s="181"/>
      <c r="K27" s="181"/>
      <c r="L27" s="181"/>
      <c r="M27" s="181"/>
      <c r="N27" s="181"/>
      <c r="O27" s="181"/>
      <c r="P27" s="181"/>
      <c r="Q27" s="181"/>
      <c r="R27" s="181"/>
      <c r="S27" s="181"/>
      <c r="T27" s="181"/>
      <c r="U27" s="181"/>
      <c r="V27" s="181"/>
    </row>
    <row r="28" spans="1:22" ht="33" customHeight="1">
      <c r="B28" s="181"/>
      <c r="C28" s="181"/>
      <c r="D28" s="181"/>
      <c r="E28" s="181"/>
      <c r="F28" s="181"/>
      <c r="G28" s="181"/>
      <c r="H28" s="181"/>
      <c r="I28" s="181"/>
      <c r="J28" s="181"/>
      <c r="K28" s="181"/>
      <c r="L28" s="181"/>
      <c r="M28" s="181"/>
      <c r="N28" s="181"/>
      <c r="O28" s="181"/>
      <c r="P28" s="181"/>
      <c r="Q28" s="181"/>
      <c r="R28" s="181"/>
      <c r="S28" s="181"/>
      <c r="T28" s="181"/>
      <c r="U28" s="181"/>
      <c r="V28" s="181"/>
    </row>
    <row r="29" spans="1:22" ht="33" customHeight="1">
      <c r="B29" s="181"/>
      <c r="C29" s="181"/>
      <c r="D29" s="181"/>
      <c r="E29" s="181"/>
      <c r="F29" s="181"/>
      <c r="G29" s="181"/>
      <c r="H29" s="181"/>
      <c r="I29" s="181"/>
      <c r="J29" s="181"/>
      <c r="K29" s="181"/>
      <c r="L29" s="181"/>
      <c r="M29" s="181"/>
      <c r="N29" s="181"/>
      <c r="O29" s="181"/>
      <c r="P29" s="181"/>
      <c r="Q29" s="181"/>
      <c r="R29" s="181"/>
      <c r="S29" s="181"/>
      <c r="T29" s="181"/>
      <c r="U29" s="181"/>
      <c r="V29" s="181"/>
    </row>
    <row r="30" spans="1:22" ht="33" customHeight="1">
      <c r="B30" s="181"/>
      <c r="C30" s="181"/>
      <c r="D30" s="181"/>
      <c r="E30" s="181"/>
      <c r="F30" s="181"/>
      <c r="G30" s="181"/>
      <c r="H30" s="181"/>
      <c r="I30" s="181"/>
      <c r="J30" s="181"/>
      <c r="K30" s="181"/>
      <c r="L30" s="181"/>
      <c r="M30" s="181"/>
      <c r="N30" s="181"/>
      <c r="O30" s="181"/>
      <c r="P30" s="181"/>
      <c r="Q30" s="181"/>
      <c r="R30" s="181"/>
      <c r="S30" s="181"/>
      <c r="T30" s="181"/>
      <c r="U30" s="181"/>
      <c r="V30" s="181"/>
    </row>
    <row r="31" spans="1:22" ht="33" customHeight="1">
      <c r="B31" s="181"/>
      <c r="C31" s="181"/>
      <c r="D31" s="181"/>
      <c r="E31" s="181"/>
      <c r="F31" s="181"/>
      <c r="G31" s="181"/>
      <c r="H31" s="181"/>
      <c r="I31" s="181"/>
      <c r="J31" s="181"/>
      <c r="K31" s="181"/>
      <c r="L31" s="181"/>
      <c r="M31" s="181"/>
      <c r="N31" s="181"/>
      <c r="O31" s="181"/>
      <c r="P31" s="181"/>
      <c r="Q31" s="181"/>
      <c r="R31" s="181"/>
      <c r="S31" s="181"/>
      <c r="T31" s="181"/>
      <c r="U31" s="181"/>
      <c r="V31" s="181"/>
    </row>
    <row r="32" spans="1:22" ht="33" customHeight="1">
      <c r="B32" s="181"/>
      <c r="C32" s="181"/>
      <c r="D32" s="181"/>
      <c r="E32" s="181"/>
      <c r="F32" s="181"/>
      <c r="G32" s="181"/>
      <c r="H32" s="181"/>
      <c r="I32" s="181"/>
      <c r="J32" s="181"/>
      <c r="K32" s="181"/>
      <c r="L32" s="181"/>
      <c r="M32" s="181"/>
      <c r="N32" s="181"/>
      <c r="O32" s="181"/>
      <c r="P32" s="181"/>
      <c r="Q32" s="181"/>
      <c r="R32" s="181"/>
      <c r="S32" s="181"/>
      <c r="T32" s="181"/>
      <c r="U32" s="181"/>
      <c r="V32" s="181"/>
    </row>
    <row r="33" spans="2:22" ht="33" customHeight="1">
      <c r="B33" s="181"/>
      <c r="C33" s="181"/>
      <c r="D33" s="181"/>
      <c r="E33" s="181"/>
      <c r="F33" s="181"/>
      <c r="G33" s="181"/>
      <c r="H33" s="181"/>
      <c r="I33" s="181"/>
      <c r="J33" s="181"/>
      <c r="K33" s="181"/>
      <c r="L33" s="181"/>
      <c r="M33" s="181"/>
      <c r="N33" s="181"/>
      <c r="O33" s="181"/>
      <c r="P33" s="181"/>
      <c r="Q33" s="181"/>
      <c r="R33" s="181"/>
      <c r="S33" s="181"/>
      <c r="T33" s="181"/>
      <c r="U33" s="181"/>
      <c r="V33" s="181"/>
    </row>
    <row r="34" spans="2:22" ht="33" customHeight="1">
      <c r="B34" s="181"/>
      <c r="C34" s="181"/>
      <c r="D34" s="181"/>
      <c r="E34" s="181"/>
      <c r="F34" s="181"/>
      <c r="G34" s="181"/>
      <c r="H34" s="181"/>
      <c r="I34" s="181"/>
      <c r="J34" s="181"/>
      <c r="K34" s="181"/>
      <c r="L34" s="181"/>
      <c r="M34" s="181"/>
      <c r="N34" s="181"/>
      <c r="O34" s="181"/>
      <c r="P34" s="181"/>
      <c r="Q34" s="181"/>
      <c r="R34" s="181"/>
      <c r="S34" s="181"/>
      <c r="T34" s="181"/>
      <c r="U34" s="181"/>
      <c r="V34" s="181"/>
    </row>
    <row r="35" spans="2:22" ht="33" customHeight="1">
      <c r="B35" s="181"/>
      <c r="C35" s="181"/>
      <c r="D35" s="181"/>
      <c r="E35" s="181"/>
      <c r="F35" s="181"/>
      <c r="G35" s="181"/>
      <c r="H35" s="181"/>
      <c r="I35" s="181"/>
      <c r="J35" s="181"/>
      <c r="K35" s="181"/>
      <c r="L35" s="181"/>
      <c r="M35" s="181"/>
      <c r="N35" s="181"/>
      <c r="O35" s="181"/>
      <c r="P35" s="181"/>
      <c r="Q35" s="181"/>
      <c r="R35" s="181"/>
      <c r="S35" s="181"/>
      <c r="T35" s="181"/>
      <c r="U35" s="181"/>
      <c r="V35" s="181"/>
    </row>
    <row r="36" spans="2:22" ht="33" customHeight="1">
      <c r="B36" s="181"/>
      <c r="C36" s="181"/>
      <c r="D36" s="181"/>
      <c r="E36" s="181"/>
      <c r="F36" s="181"/>
      <c r="G36" s="181"/>
      <c r="H36" s="181"/>
      <c r="I36" s="181"/>
      <c r="J36" s="181"/>
      <c r="K36" s="181"/>
      <c r="L36" s="181"/>
      <c r="M36" s="181"/>
      <c r="N36" s="181"/>
      <c r="O36" s="181"/>
      <c r="P36" s="181"/>
      <c r="Q36" s="181"/>
      <c r="R36" s="181"/>
      <c r="S36" s="181"/>
      <c r="T36" s="181"/>
      <c r="U36" s="181"/>
      <c r="V36" s="181"/>
    </row>
    <row r="37" spans="2:22" ht="33" customHeight="1">
      <c r="B37" s="181"/>
      <c r="C37" s="181"/>
      <c r="D37" s="181"/>
      <c r="E37" s="181"/>
      <c r="F37" s="181"/>
      <c r="G37" s="181"/>
      <c r="H37" s="181"/>
      <c r="I37" s="181"/>
      <c r="J37" s="181"/>
      <c r="K37" s="181"/>
      <c r="L37" s="181"/>
      <c r="M37" s="181"/>
      <c r="N37" s="181"/>
      <c r="O37" s="181"/>
      <c r="P37" s="181"/>
      <c r="Q37" s="181"/>
      <c r="R37" s="181"/>
      <c r="S37" s="181"/>
      <c r="T37" s="181"/>
      <c r="U37" s="181"/>
      <c r="V37" s="181"/>
    </row>
    <row r="38" spans="2:22" ht="33" customHeight="1">
      <c r="B38" s="181"/>
      <c r="C38" s="181"/>
      <c r="D38" s="181"/>
      <c r="E38" s="181"/>
      <c r="F38" s="181"/>
      <c r="G38" s="181"/>
      <c r="H38" s="181"/>
      <c r="I38" s="181"/>
      <c r="J38" s="181"/>
      <c r="K38" s="181"/>
      <c r="L38" s="181"/>
      <c r="M38" s="181"/>
      <c r="N38" s="181"/>
      <c r="O38" s="181"/>
      <c r="P38" s="181"/>
      <c r="Q38" s="181"/>
      <c r="R38" s="181"/>
      <c r="S38" s="181"/>
      <c r="T38" s="181"/>
      <c r="U38" s="181"/>
      <c r="V38" s="181"/>
    </row>
    <row r="39" spans="2:22" ht="33" customHeight="1">
      <c r="B39" s="181"/>
      <c r="C39" s="181"/>
      <c r="D39" s="181"/>
      <c r="E39" s="181"/>
      <c r="F39" s="181"/>
      <c r="G39" s="181"/>
      <c r="H39" s="181"/>
      <c r="I39" s="181"/>
      <c r="J39" s="181"/>
      <c r="K39" s="181"/>
      <c r="L39" s="181"/>
      <c r="M39" s="181"/>
      <c r="N39" s="181"/>
      <c r="O39" s="181"/>
      <c r="P39" s="181"/>
      <c r="Q39" s="181"/>
      <c r="R39" s="181"/>
      <c r="S39" s="181"/>
      <c r="T39" s="181"/>
      <c r="U39" s="181"/>
      <c r="V39" s="181"/>
    </row>
    <row r="40" spans="2:22" ht="33" customHeight="1">
      <c r="B40" s="181"/>
      <c r="C40" s="181"/>
      <c r="D40" s="181"/>
      <c r="E40" s="181"/>
      <c r="F40" s="181"/>
      <c r="G40" s="181"/>
      <c r="H40" s="181"/>
      <c r="I40" s="181"/>
      <c r="J40" s="181"/>
      <c r="K40" s="181"/>
      <c r="L40" s="181"/>
      <c r="M40" s="181"/>
      <c r="N40" s="181"/>
      <c r="O40" s="181"/>
      <c r="P40" s="181"/>
      <c r="Q40" s="181"/>
      <c r="R40" s="181"/>
      <c r="S40" s="181"/>
      <c r="T40" s="181"/>
      <c r="U40" s="181"/>
      <c r="V40" s="181"/>
    </row>
    <row r="41" spans="2:22" ht="33" customHeight="1">
      <c r="B41" s="181"/>
      <c r="C41" s="181"/>
      <c r="D41" s="181"/>
      <c r="E41" s="181"/>
      <c r="F41" s="181"/>
      <c r="G41" s="181"/>
      <c r="H41" s="181"/>
      <c r="I41" s="181"/>
      <c r="J41" s="181"/>
      <c r="K41" s="181"/>
      <c r="L41" s="181"/>
      <c r="M41" s="181"/>
      <c r="N41" s="181"/>
      <c r="O41" s="181"/>
      <c r="P41" s="181"/>
      <c r="Q41" s="181"/>
      <c r="R41" s="181"/>
      <c r="S41" s="181"/>
      <c r="T41" s="181"/>
      <c r="U41" s="181"/>
      <c r="V41" s="181"/>
    </row>
    <row r="42" spans="2:22" ht="33" customHeight="1">
      <c r="B42" s="181"/>
      <c r="C42" s="181"/>
      <c r="D42" s="181"/>
      <c r="E42" s="181"/>
      <c r="F42" s="181"/>
      <c r="G42" s="181"/>
      <c r="H42" s="181"/>
      <c r="I42" s="181"/>
      <c r="J42" s="181"/>
      <c r="K42" s="181"/>
      <c r="L42" s="181"/>
      <c r="M42" s="181"/>
      <c r="N42" s="181"/>
      <c r="O42" s="181"/>
      <c r="P42" s="181"/>
      <c r="Q42" s="181"/>
      <c r="R42" s="181"/>
      <c r="S42" s="181"/>
      <c r="T42" s="181"/>
      <c r="U42" s="181"/>
      <c r="V42" s="181"/>
    </row>
    <row r="43" spans="2:22" ht="33" customHeight="1">
      <c r="B43" s="181"/>
      <c r="C43" s="181"/>
      <c r="D43" s="181"/>
      <c r="E43" s="181"/>
      <c r="F43" s="181"/>
      <c r="G43" s="181"/>
      <c r="H43" s="181"/>
      <c r="I43" s="181"/>
      <c r="J43" s="181"/>
      <c r="K43" s="181"/>
      <c r="L43" s="181"/>
      <c r="M43" s="181"/>
      <c r="N43" s="181"/>
      <c r="O43" s="181"/>
      <c r="P43" s="181"/>
      <c r="Q43" s="181"/>
      <c r="R43" s="181"/>
      <c r="S43" s="181"/>
      <c r="T43" s="181"/>
      <c r="U43" s="181"/>
      <c r="V43" s="181"/>
    </row>
    <row r="44" spans="2:22" ht="33" customHeight="1">
      <c r="B44" s="181"/>
      <c r="C44" s="181"/>
      <c r="D44" s="181"/>
      <c r="E44" s="181"/>
      <c r="F44" s="181"/>
      <c r="G44" s="181"/>
      <c r="H44" s="181"/>
      <c r="I44" s="181"/>
      <c r="J44" s="181"/>
      <c r="K44" s="181"/>
      <c r="L44" s="181"/>
      <c r="M44" s="181"/>
      <c r="N44" s="181"/>
      <c r="O44" s="181"/>
      <c r="P44" s="181"/>
      <c r="Q44" s="181"/>
      <c r="R44" s="181"/>
      <c r="S44" s="181"/>
      <c r="T44" s="181"/>
      <c r="U44" s="181"/>
      <c r="V44" s="181"/>
    </row>
    <row r="45" spans="2:22" ht="33" customHeight="1">
      <c r="B45" s="181"/>
      <c r="C45" s="181"/>
      <c r="D45" s="181"/>
      <c r="E45" s="181"/>
      <c r="F45" s="181"/>
      <c r="G45" s="181"/>
      <c r="H45" s="181"/>
      <c r="I45" s="181"/>
      <c r="J45" s="181"/>
      <c r="K45" s="181"/>
      <c r="L45" s="181"/>
      <c r="M45" s="181"/>
      <c r="N45" s="181"/>
      <c r="O45" s="181"/>
      <c r="P45" s="181"/>
      <c r="Q45" s="181"/>
      <c r="R45" s="181"/>
      <c r="S45" s="181"/>
      <c r="T45" s="181"/>
      <c r="U45" s="181"/>
      <c r="V45" s="181"/>
    </row>
    <row r="46" spans="2:22" ht="33" customHeight="1">
      <c r="B46" s="181"/>
      <c r="C46" s="181"/>
      <c r="D46" s="181"/>
      <c r="E46" s="181"/>
      <c r="F46" s="181"/>
      <c r="G46" s="181"/>
      <c r="H46" s="181"/>
      <c r="I46" s="181"/>
      <c r="J46" s="181"/>
      <c r="K46" s="181"/>
      <c r="L46" s="181"/>
      <c r="M46" s="181"/>
      <c r="N46" s="181"/>
      <c r="O46" s="181"/>
      <c r="P46" s="181"/>
      <c r="Q46" s="181"/>
      <c r="R46" s="181"/>
      <c r="S46" s="181"/>
      <c r="T46" s="181"/>
      <c r="U46" s="181"/>
      <c r="V46" s="181"/>
    </row>
    <row r="47" spans="2:22" ht="33" customHeight="1">
      <c r="B47" s="181"/>
      <c r="C47" s="181"/>
      <c r="D47" s="181"/>
      <c r="E47" s="181"/>
      <c r="F47" s="181"/>
      <c r="G47" s="181"/>
      <c r="H47" s="181"/>
      <c r="I47" s="181"/>
      <c r="J47" s="181"/>
      <c r="K47" s="181"/>
      <c r="L47" s="181"/>
      <c r="M47" s="181"/>
      <c r="N47" s="181"/>
      <c r="O47" s="181"/>
      <c r="P47" s="181"/>
      <c r="Q47" s="181"/>
      <c r="R47" s="181"/>
      <c r="S47" s="181"/>
      <c r="T47" s="181"/>
      <c r="U47" s="181"/>
      <c r="V47" s="181"/>
    </row>
    <row r="48" spans="2:22" ht="33" customHeight="1">
      <c r="B48" s="181"/>
      <c r="C48" s="181"/>
      <c r="D48" s="181"/>
      <c r="E48" s="181"/>
      <c r="F48" s="181"/>
      <c r="G48" s="181"/>
      <c r="H48" s="181"/>
      <c r="I48" s="181"/>
      <c r="J48" s="181"/>
      <c r="K48" s="181"/>
      <c r="L48" s="181"/>
      <c r="M48" s="181"/>
      <c r="N48" s="181"/>
      <c r="O48" s="181"/>
      <c r="P48" s="181"/>
      <c r="Q48" s="181"/>
      <c r="R48" s="181"/>
      <c r="S48" s="181"/>
      <c r="T48" s="181"/>
      <c r="U48" s="181"/>
      <c r="V48" s="181"/>
    </row>
    <row r="49" spans="2:22" ht="33" customHeight="1">
      <c r="B49" s="181"/>
      <c r="C49" s="181"/>
      <c r="D49" s="181"/>
      <c r="E49" s="181"/>
      <c r="F49" s="181"/>
      <c r="G49" s="181"/>
      <c r="H49" s="181"/>
      <c r="I49" s="181"/>
      <c r="J49" s="181"/>
      <c r="K49" s="181"/>
      <c r="L49" s="181"/>
      <c r="M49" s="181"/>
      <c r="N49" s="181"/>
      <c r="O49" s="181"/>
      <c r="P49" s="181"/>
      <c r="Q49" s="181"/>
      <c r="R49" s="181"/>
      <c r="S49" s="181"/>
      <c r="T49" s="181"/>
      <c r="U49" s="181"/>
      <c r="V49" s="181"/>
    </row>
    <row r="50" spans="2:22" ht="33" customHeight="1">
      <c r="B50" s="181"/>
      <c r="C50" s="181"/>
      <c r="D50" s="181"/>
      <c r="E50" s="181"/>
      <c r="F50" s="181"/>
      <c r="G50" s="181"/>
      <c r="H50" s="181"/>
      <c r="I50" s="181"/>
      <c r="J50" s="181"/>
      <c r="K50" s="181"/>
      <c r="L50" s="181"/>
      <c r="M50" s="181"/>
      <c r="N50" s="181"/>
      <c r="O50" s="181"/>
      <c r="P50" s="181"/>
      <c r="Q50" s="181"/>
      <c r="R50" s="181"/>
      <c r="S50" s="181"/>
      <c r="T50" s="181"/>
      <c r="U50" s="181"/>
      <c r="V50" s="181"/>
    </row>
    <row r="51" spans="2:22" ht="33" customHeight="1">
      <c r="B51" s="181"/>
      <c r="C51" s="181"/>
      <c r="D51" s="181"/>
      <c r="E51" s="181"/>
      <c r="F51" s="181"/>
      <c r="G51" s="181"/>
      <c r="H51" s="181"/>
      <c r="I51" s="181"/>
      <c r="J51" s="181"/>
      <c r="K51" s="181"/>
      <c r="L51" s="181"/>
      <c r="M51" s="181"/>
      <c r="N51" s="181"/>
      <c r="O51" s="181"/>
      <c r="P51" s="181"/>
      <c r="Q51" s="181"/>
      <c r="R51" s="181"/>
      <c r="S51" s="181"/>
      <c r="T51" s="181"/>
      <c r="U51" s="181"/>
      <c r="V51" s="181"/>
    </row>
    <row r="52" spans="2:22" ht="33" customHeight="1">
      <c r="B52" s="181"/>
      <c r="C52" s="181"/>
      <c r="D52" s="181"/>
      <c r="E52" s="181"/>
      <c r="F52" s="181"/>
      <c r="G52" s="181"/>
      <c r="H52" s="181"/>
      <c r="I52" s="181"/>
      <c r="J52" s="181"/>
      <c r="K52" s="181"/>
      <c r="L52" s="181"/>
      <c r="M52" s="181"/>
      <c r="N52" s="181"/>
      <c r="O52" s="181"/>
      <c r="P52" s="181"/>
      <c r="Q52" s="181"/>
      <c r="R52" s="181"/>
      <c r="S52" s="181"/>
      <c r="T52" s="181"/>
      <c r="U52" s="181"/>
      <c r="V52" s="181"/>
    </row>
    <row r="53" spans="2:22" ht="33" customHeight="1">
      <c r="B53" s="181"/>
      <c r="C53" s="181"/>
      <c r="D53" s="181"/>
      <c r="E53" s="181"/>
      <c r="F53" s="181"/>
      <c r="G53" s="181"/>
      <c r="H53" s="181"/>
      <c r="I53" s="181"/>
      <c r="J53" s="181"/>
      <c r="K53" s="181"/>
      <c r="L53" s="181"/>
      <c r="M53" s="181"/>
      <c r="N53" s="181"/>
      <c r="O53" s="181"/>
      <c r="P53" s="181"/>
      <c r="Q53" s="181"/>
      <c r="R53" s="181"/>
      <c r="S53" s="181"/>
      <c r="T53" s="181"/>
      <c r="U53" s="181"/>
      <c r="V53" s="181"/>
    </row>
    <row r="54" spans="2:22" ht="33" customHeight="1">
      <c r="B54" s="181"/>
      <c r="C54" s="181"/>
      <c r="D54" s="181"/>
      <c r="E54" s="181"/>
      <c r="F54" s="181"/>
      <c r="G54" s="181"/>
      <c r="H54" s="181"/>
      <c r="I54" s="181"/>
      <c r="J54" s="181"/>
      <c r="K54" s="181"/>
      <c r="L54" s="181"/>
      <c r="M54" s="181"/>
      <c r="N54" s="181"/>
      <c r="O54" s="181"/>
      <c r="P54" s="181"/>
      <c r="Q54" s="181"/>
      <c r="R54" s="181"/>
      <c r="S54" s="181"/>
      <c r="T54" s="181"/>
      <c r="U54" s="181"/>
      <c r="V54" s="181"/>
    </row>
    <row r="55" spans="2:22" ht="33" customHeight="1">
      <c r="B55" s="181"/>
      <c r="C55" s="181"/>
      <c r="D55" s="181"/>
      <c r="E55" s="181"/>
      <c r="F55" s="181"/>
      <c r="G55" s="181"/>
      <c r="H55" s="181"/>
      <c r="I55" s="181"/>
      <c r="J55" s="181"/>
      <c r="K55" s="181"/>
      <c r="L55" s="181"/>
      <c r="M55" s="181"/>
      <c r="N55" s="181"/>
      <c r="O55" s="181"/>
      <c r="P55" s="181"/>
      <c r="Q55" s="181"/>
      <c r="R55" s="181"/>
      <c r="S55" s="181"/>
      <c r="T55" s="181"/>
      <c r="U55" s="181"/>
      <c r="V55" s="181"/>
    </row>
    <row r="56" spans="2:22" ht="33" customHeight="1">
      <c r="B56" s="181"/>
      <c r="C56" s="181"/>
      <c r="D56" s="181"/>
      <c r="E56" s="181"/>
      <c r="F56" s="181"/>
      <c r="G56" s="181"/>
      <c r="H56" s="181"/>
      <c r="I56" s="181"/>
      <c r="J56" s="181"/>
      <c r="K56" s="181"/>
      <c r="L56" s="181"/>
      <c r="M56" s="181"/>
      <c r="N56" s="181"/>
      <c r="O56" s="181"/>
      <c r="P56" s="181"/>
      <c r="Q56" s="181"/>
      <c r="R56" s="181"/>
      <c r="S56" s="181"/>
      <c r="T56" s="181"/>
      <c r="U56" s="181"/>
      <c r="V56" s="181"/>
    </row>
    <row r="57" spans="2:22" ht="33" customHeight="1">
      <c r="B57" s="181"/>
      <c r="C57" s="181"/>
      <c r="D57" s="181"/>
      <c r="E57" s="181"/>
      <c r="F57" s="181"/>
      <c r="G57" s="181"/>
      <c r="H57" s="181"/>
      <c r="I57" s="181"/>
      <c r="J57" s="181"/>
      <c r="K57" s="181"/>
      <c r="L57" s="181"/>
      <c r="M57" s="181"/>
      <c r="N57" s="181"/>
      <c r="O57" s="181"/>
      <c r="P57" s="181"/>
      <c r="Q57" s="181"/>
      <c r="R57" s="181"/>
      <c r="S57" s="181"/>
      <c r="T57" s="181"/>
      <c r="U57" s="181"/>
      <c r="V57" s="181"/>
    </row>
    <row r="58" spans="2:22" ht="33" customHeight="1">
      <c r="B58" s="181"/>
      <c r="C58" s="181"/>
      <c r="D58" s="181"/>
      <c r="E58" s="181"/>
      <c r="F58" s="181"/>
      <c r="G58" s="181"/>
      <c r="H58" s="181"/>
      <c r="I58" s="181"/>
      <c r="J58" s="181"/>
      <c r="K58" s="181"/>
      <c r="L58" s="181"/>
      <c r="M58" s="181"/>
      <c r="N58" s="181"/>
      <c r="O58" s="181"/>
      <c r="P58" s="181"/>
      <c r="Q58" s="181"/>
      <c r="R58" s="181"/>
      <c r="S58" s="181"/>
      <c r="T58" s="181"/>
      <c r="U58" s="181"/>
      <c r="V58" s="181"/>
    </row>
    <row r="59" spans="2:22" ht="74.25" customHeight="1">
      <c r="B59" s="181"/>
      <c r="C59" s="181"/>
      <c r="D59" s="181"/>
      <c r="E59" s="181"/>
      <c r="F59" s="181"/>
      <c r="G59" s="181"/>
      <c r="H59" s="181"/>
      <c r="I59" s="181"/>
      <c r="J59" s="181"/>
      <c r="K59" s="181"/>
      <c r="L59" s="181"/>
      <c r="M59" s="181"/>
      <c r="N59" s="181"/>
      <c r="O59" s="181"/>
      <c r="P59" s="181"/>
      <c r="Q59" s="181"/>
      <c r="R59" s="181"/>
      <c r="S59" s="181"/>
      <c r="T59" s="181"/>
      <c r="U59" s="181"/>
      <c r="V59" s="181"/>
    </row>
    <row r="60" spans="2:22" ht="74.25" customHeight="1">
      <c r="B60" s="181"/>
      <c r="C60" s="181"/>
      <c r="D60" s="181"/>
      <c r="E60" s="181"/>
      <c r="F60" s="181"/>
      <c r="G60" s="181"/>
      <c r="H60" s="181"/>
      <c r="I60" s="181"/>
      <c r="J60" s="181"/>
      <c r="K60" s="181"/>
      <c r="L60" s="181"/>
      <c r="M60" s="181"/>
      <c r="N60" s="181"/>
      <c r="O60" s="181"/>
      <c r="P60" s="181"/>
      <c r="Q60" s="181"/>
      <c r="R60" s="181"/>
      <c r="S60" s="181"/>
      <c r="T60" s="181"/>
      <c r="U60" s="181"/>
      <c r="V60" s="181"/>
    </row>
    <row r="61" spans="2:22" ht="74.25" customHeight="1">
      <c r="B61" s="181"/>
      <c r="C61" s="181"/>
      <c r="D61" s="181"/>
      <c r="E61" s="181"/>
      <c r="F61" s="181"/>
      <c r="G61" s="181"/>
      <c r="H61" s="181"/>
      <c r="I61" s="181"/>
      <c r="J61" s="181"/>
      <c r="K61" s="181"/>
      <c r="L61" s="181"/>
      <c r="M61" s="181"/>
      <c r="N61" s="181"/>
      <c r="O61" s="181"/>
      <c r="P61" s="181"/>
      <c r="Q61" s="181"/>
      <c r="R61" s="181"/>
      <c r="S61" s="181"/>
      <c r="T61" s="181"/>
      <c r="U61" s="181"/>
      <c r="V61" s="181"/>
    </row>
    <row r="62" spans="2:22" ht="74.25" customHeight="1">
      <c r="B62" s="181"/>
      <c r="C62" s="181"/>
      <c r="D62" s="181"/>
      <c r="E62" s="181"/>
      <c r="F62" s="181"/>
      <c r="G62" s="181"/>
      <c r="H62" s="181"/>
      <c r="I62" s="181"/>
      <c r="J62" s="181"/>
      <c r="K62" s="181"/>
      <c r="L62" s="181"/>
      <c r="M62" s="181"/>
      <c r="N62" s="181"/>
      <c r="O62" s="181"/>
      <c r="P62" s="181"/>
      <c r="Q62" s="181"/>
      <c r="R62" s="181"/>
      <c r="S62" s="181"/>
      <c r="T62" s="181"/>
      <c r="U62" s="181"/>
      <c r="V62" s="181"/>
    </row>
    <row r="63" spans="2:22" ht="74.25" customHeight="1">
      <c r="B63" s="181"/>
      <c r="C63" s="181"/>
      <c r="D63" s="181"/>
      <c r="E63" s="181"/>
      <c r="F63" s="181"/>
      <c r="G63" s="181"/>
      <c r="H63" s="181"/>
      <c r="I63" s="181"/>
      <c r="J63" s="181"/>
      <c r="K63" s="181"/>
      <c r="L63" s="181"/>
      <c r="M63" s="181"/>
      <c r="N63" s="181"/>
      <c r="O63" s="181"/>
      <c r="P63" s="181"/>
      <c r="Q63" s="181"/>
      <c r="R63" s="181"/>
      <c r="S63" s="181"/>
      <c r="T63" s="181"/>
      <c r="U63" s="181"/>
      <c r="V63" s="181"/>
    </row>
    <row r="64" spans="2:22" ht="74.25" customHeight="1">
      <c r="B64" s="181"/>
      <c r="C64" s="181"/>
      <c r="D64" s="181"/>
      <c r="E64" s="181"/>
      <c r="F64" s="181"/>
      <c r="G64" s="181"/>
      <c r="H64" s="181"/>
      <c r="I64" s="181"/>
      <c r="J64" s="181"/>
      <c r="K64" s="181"/>
      <c r="L64" s="181"/>
      <c r="M64" s="181"/>
      <c r="N64" s="181"/>
      <c r="O64" s="181"/>
      <c r="P64" s="181"/>
      <c r="Q64" s="181"/>
      <c r="R64" s="181"/>
      <c r="S64" s="181"/>
      <c r="T64" s="181"/>
      <c r="U64" s="181"/>
      <c r="V64" s="181"/>
    </row>
    <row r="65" spans="2:22" ht="74.25" customHeight="1">
      <c r="B65" s="181"/>
      <c r="C65" s="181"/>
      <c r="D65" s="181"/>
      <c r="E65" s="181"/>
      <c r="F65" s="181"/>
      <c r="G65" s="181"/>
      <c r="H65" s="181"/>
      <c r="I65" s="181"/>
      <c r="J65" s="181"/>
      <c r="K65" s="181"/>
      <c r="L65" s="181"/>
      <c r="M65" s="181"/>
      <c r="N65" s="181"/>
      <c r="O65" s="181"/>
      <c r="P65" s="181"/>
      <c r="Q65" s="181"/>
      <c r="R65" s="181"/>
      <c r="S65" s="181"/>
      <c r="T65" s="181"/>
      <c r="U65" s="181"/>
      <c r="V65" s="181"/>
    </row>
    <row r="66" spans="2:22" ht="74.25" customHeight="1">
      <c r="B66" s="181"/>
      <c r="C66" s="181"/>
      <c r="D66" s="181"/>
      <c r="E66" s="181"/>
      <c r="F66" s="181"/>
      <c r="G66" s="181"/>
      <c r="H66" s="181"/>
      <c r="I66" s="181"/>
      <c r="J66" s="181"/>
      <c r="K66" s="181"/>
      <c r="L66" s="181"/>
      <c r="M66" s="181"/>
      <c r="N66" s="181"/>
      <c r="O66" s="181"/>
      <c r="P66" s="181"/>
      <c r="Q66" s="181"/>
      <c r="R66" s="181"/>
      <c r="S66" s="181"/>
      <c r="T66" s="181"/>
      <c r="U66" s="181"/>
      <c r="V66" s="181"/>
    </row>
    <row r="67" spans="2:22" ht="74.25" customHeight="1">
      <c r="B67" s="181"/>
      <c r="C67" s="181"/>
      <c r="D67" s="181"/>
      <c r="E67" s="181"/>
      <c r="F67" s="181"/>
      <c r="G67" s="181"/>
      <c r="H67" s="181"/>
      <c r="I67" s="181"/>
      <c r="J67" s="181"/>
      <c r="K67" s="181"/>
      <c r="L67" s="181"/>
      <c r="M67" s="181"/>
      <c r="N67" s="181"/>
      <c r="O67" s="181"/>
      <c r="P67" s="181"/>
      <c r="Q67" s="181"/>
      <c r="R67" s="181"/>
      <c r="S67" s="181"/>
      <c r="T67" s="181"/>
      <c r="U67" s="181"/>
      <c r="V67" s="181"/>
    </row>
    <row r="68" spans="2:22" ht="74.25" customHeight="1">
      <c r="B68" s="181"/>
      <c r="C68" s="181"/>
      <c r="D68" s="181"/>
      <c r="E68" s="181"/>
      <c r="F68" s="181"/>
      <c r="G68" s="181"/>
      <c r="H68" s="181"/>
      <c r="I68" s="181"/>
      <c r="J68" s="181"/>
      <c r="K68" s="181"/>
      <c r="L68" s="181"/>
      <c r="M68" s="181"/>
      <c r="N68" s="181"/>
      <c r="O68" s="181"/>
      <c r="P68" s="181"/>
      <c r="Q68" s="181"/>
      <c r="R68" s="181"/>
      <c r="S68" s="181"/>
      <c r="T68" s="181"/>
      <c r="U68" s="181"/>
      <c r="V68" s="181"/>
    </row>
    <row r="69" spans="2:22" ht="74.25" customHeight="1">
      <c r="B69" s="181"/>
      <c r="C69" s="181"/>
      <c r="D69" s="181"/>
      <c r="E69" s="181"/>
      <c r="F69" s="181"/>
      <c r="G69" s="181"/>
      <c r="H69" s="181"/>
      <c r="I69" s="181"/>
      <c r="J69" s="181"/>
      <c r="K69" s="181"/>
      <c r="L69" s="181"/>
      <c r="M69" s="181"/>
      <c r="N69" s="181"/>
      <c r="O69" s="181"/>
      <c r="P69" s="181"/>
      <c r="Q69" s="181"/>
      <c r="R69" s="181"/>
      <c r="S69" s="181"/>
      <c r="T69" s="181"/>
      <c r="U69" s="181"/>
      <c r="V69" s="181"/>
    </row>
    <row r="70" spans="2:22" ht="74.25" customHeight="1">
      <c r="B70" s="181"/>
      <c r="C70" s="181"/>
      <c r="D70" s="181"/>
      <c r="E70" s="181"/>
      <c r="F70" s="181"/>
      <c r="G70" s="181"/>
      <c r="H70" s="181"/>
      <c r="I70" s="181"/>
      <c r="J70" s="181"/>
      <c r="K70" s="181"/>
      <c r="L70" s="181"/>
      <c r="M70" s="181"/>
      <c r="N70" s="181"/>
      <c r="O70" s="181"/>
      <c r="P70" s="181"/>
      <c r="Q70" s="181"/>
      <c r="R70" s="181"/>
      <c r="S70" s="181"/>
      <c r="T70" s="181"/>
      <c r="U70" s="181"/>
      <c r="V70" s="181"/>
    </row>
    <row r="71" spans="2:22" ht="74.25" customHeight="1">
      <c r="B71" s="181"/>
      <c r="C71" s="181"/>
      <c r="D71" s="181"/>
      <c r="E71" s="181"/>
      <c r="F71" s="181"/>
      <c r="G71" s="181"/>
      <c r="H71" s="181"/>
      <c r="I71" s="181"/>
      <c r="J71" s="181"/>
      <c r="K71" s="181"/>
      <c r="L71" s="181"/>
      <c r="M71" s="181"/>
      <c r="N71" s="181"/>
      <c r="O71" s="181"/>
      <c r="P71" s="181"/>
      <c r="Q71" s="181"/>
      <c r="R71" s="181"/>
      <c r="S71" s="181"/>
      <c r="T71" s="181"/>
      <c r="U71" s="181"/>
      <c r="V71" s="181"/>
    </row>
    <row r="72" spans="2:22" ht="74.25" customHeight="1">
      <c r="B72" s="181"/>
      <c r="C72" s="181"/>
      <c r="D72" s="181"/>
      <c r="E72" s="181"/>
      <c r="F72" s="181"/>
      <c r="G72" s="181"/>
      <c r="H72" s="181"/>
      <c r="I72" s="181"/>
      <c r="J72" s="181"/>
      <c r="K72" s="181"/>
      <c r="L72" s="181"/>
      <c r="M72" s="181"/>
      <c r="N72" s="181"/>
      <c r="O72" s="181"/>
      <c r="P72" s="181"/>
      <c r="Q72" s="181"/>
      <c r="R72" s="181"/>
      <c r="S72" s="181"/>
      <c r="T72" s="181"/>
      <c r="U72" s="181"/>
      <c r="V72" s="181"/>
    </row>
    <row r="73" spans="2:22" ht="74.25" customHeight="1">
      <c r="B73" s="181"/>
      <c r="C73" s="181"/>
      <c r="D73" s="181"/>
      <c r="E73" s="181"/>
      <c r="F73" s="181"/>
      <c r="G73" s="181"/>
      <c r="H73" s="181"/>
      <c r="I73" s="181"/>
      <c r="J73" s="181"/>
      <c r="K73" s="181"/>
      <c r="L73" s="181"/>
      <c r="M73" s="181"/>
      <c r="N73" s="181"/>
      <c r="O73" s="181"/>
      <c r="P73" s="181"/>
      <c r="Q73" s="181"/>
      <c r="R73" s="181"/>
      <c r="S73" s="181"/>
      <c r="T73" s="181"/>
      <c r="U73" s="181"/>
      <c r="V73" s="181"/>
    </row>
    <row r="74" spans="2:22" ht="74.25" customHeight="1">
      <c r="B74" s="181"/>
      <c r="C74" s="181"/>
      <c r="D74" s="181"/>
      <c r="E74" s="181"/>
      <c r="F74" s="181"/>
      <c r="G74" s="181"/>
      <c r="H74" s="181"/>
      <c r="I74" s="181"/>
      <c r="J74" s="181"/>
      <c r="K74" s="181"/>
      <c r="L74" s="181"/>
      <c r="M74" s="181"/>
      <c r="N74" s="181"/>
      <c r="O74" s="181"/>
      <c r="P74" s="181"/>
      <c r="Q74" s="181"/>
      <c r="R74" s="181"/>
      <c r="S74" s="181"/>
      <c r="T74" s="181"/>
      <c r="U74" s="181"/>
      <c r="V74" s="181"/>
    </row>
    <row r="75" spans="2:22" ht="74.25" customHeight="1">
      <c r="B75" s="181"/>
      <c r="C75" s="181"/>
      <c r="D75" s="181"/>
      <c r="E75" s="181"/>
      <c r="F75" s="181"/>
      <c r="G75" s="181"/>
      <c r="H75" s="181"/>
      <c r="I75" s="181"/>
      <c r="J75" s="181"/>
      <c r="K75" s="181"/>
      <c r="L75" s="181"/>
      <c r="M75" s="181"/>
      <c r="N75" s="181"/>
      <c r="O75" s="181"/>
      <c r="P75" s="181"/>
      <c r="Q75" s="181"/>
      <c r="R75" s="181"/>
      <c r="S75" s="181"/>
      <c r="T75" s="181"/>
      <c r="U75" s="181"/>
      <c r="V75" s="181"/>
    </row>
    <row r="76" spans="2:22" ht="74.25" customHeight="1">
      <c r="B76" s="181"/>
      <c r="C76" s="181"/>
      <c r="D76" s="181"/>
      <c r="E76" s="181"/>
      <c r="F76" s="181"/>
      <c r="G76" s="181"/>
      <c r="H76" s="181"/>
      <c r="I76" s="181"/>
      <c r="J76" s="181"/>
      <c r="K76" s="181"/>
      <c r="L76" s="181"/>
      <c r="M76" s="181"/>
      <c r="N76" s="181"/>
      <c r="O76" s="181"/>
      <c r="P76" s="181"/>
      <c r="Q76" s="181"/>
      <c r="R76" s="181"/>
      <c r="S76" s="181"/>
      <c r="T76" s="181"/>
      <c r="U76" s="181"/>
      <c r="V76" s="181"/>
    </row>
    <row r="77" spans="2:22" ht="74.25" customHeight="1">
      <c r="B77" s="181"/>
      <c r="C77" s="181"/>
      <c r="D77" s="181"/>
      <c r="E77" s="181"/>
      <c r="F77" s="181"/>
      <c r="G77" s="181"/>
      <c r="H77" s="181"/>
      <c r="I77" s="181"/>
      <c r="J77" s="181"/>
      <c r="K77" s="181"/>
      <c r="L77" s="181"/>
      <c r="M77" s="181"/>
      <c r="N77" s="181"/>
      <c r="O77" s="181"/>
      <c r="P77" s="181"/>
      <c r="Q77" s="181"/>
      <c r="R77" s="181"/>
      <c r="S77" s="181"/>
      <c r="T77" s="181"/>
      <c r="U77" s="181"/>
      <c r="V77" s="181"/>
    </row>
    <row r="78" spans="2:22" ht="74.25" customHeight="1">
      <c r="B78" s="181"/>
      <c r="C78" s="181"/>
      <c r="D78" s="181"/>
      <c r="E78" s="181"/>
      <c r="F78" s="181"/>
      <c r="G78" s="181"/>
      <c r="H78" s="181"/>
      <c r="I78" s="181"/>
      <c r="J78" s="181"/>
      <c r="K78" s="181"/>
      <c r="L78" s="181"/>
      <c r="M78" s="181"/>
      <c r="N78" s="181"/>
      <c r="O78" s="181"/>
      <c r="P78" s="181"/>
      <c r="Q78" s="181"/>
      <c r="R78" s="181"/>
      <c r="S78" s="181"/>
      <c r="T78" s="181"/>
      <c r="U78" s="181"/>
      <c r="V78" s="181"/>
    </row>
    <row r="79" spans="2:22" ht="74.25" customHeight="1">
      <c r="B79" s="181"/>
      <c r="C79" s="181"/>
      <c r="D79" s="181"/>
      <c r="E79" s="181"/>
      <c r="F79" s="181"/>
      <c r="G79" s="181"/>
      <c r="H79" s="181"/>
      <c r="I79" s="181"/>
      <c r="J79" s="181"/>
      <c r="K79" s="181"/>
      <c r="L79" s="181"/>
      <c r="M79" s="181"/>
      <c r="N79" s="181"/>
      <c r="O79" s="181"/>
      <c r="P79" s="181"/>
      <c r="Q79" s="181"/>
      <c r="R79" s="181"/>
      <c r="S79" s="181"/>
      <c r="T79" s="181"/>
      <c r="U79" s="181"/>
      <c r="V79" s="181"/>
    </row>
    <row r="80" spans="2:22" ht="74.25" customHeight="1">
      <c r="B80" s="181"/>
      <c r="C80" s="181"/>
      <c r="D80" s="181"/>
      <c r="E80" s="181"/>
      <c r="F80" s="181"/>
      <c r="G80" s="181"/>
      <c r="H80" s="181"/>
      <c r="I80" s="181"/>
      <c r="J80" s="181"/>
      <c r="K80" s="181"/>
      <c r="L80" s="181"/>
      <c r="M80" s="181"/>
      <c r="N80" s="181"/>
      <c r="O80" s="181"/>
      <c r="P80" s="181"/>
      <c r="Q80" s="181"/>
      <c r="R80" s="181"/>
      <c r="S80" s="181"/>
      <c r="T80" s="181"/>
      <c r="U80" s="181"/>
      <c r="V80" s="181"/>
    </row>
    <row r="81" spans="2:22" ht="74.25" customHeight="1">
      <c r="B81" s="181"/>
      <c r="C81" s="181"/>
      <c r="D81" s="181"/>
      <c r="E81" s="181"/>
      <c r="F81" s="181"/>
      <c r="G81" s="181"/>
      <c r="H81" s="181"/>
      <c r="I81" s="181"/>
      <c r="J81" s="181"/>
      <c r="K81" s="181"/>
      <c r="L81" s="181"/>
      <c r="M81" s="181"/>
      <c r="N81" s="181"/>
      <c r="O81" s="181"/>
      <c r="P81" s="181"/>
      <c r="Q81" s="181"/>
      <c r="R81" s="181"/>
      <c r="S81" s="181"/>
      <c r="T81" s="181"/>
      <c r="U81" s="181"/>
      <c r="V81" s="181"/>
    </row>
    <row r="82" spans="2:22" ht="74.25" customHeight="1">
      <c r="B82" s="181"/>
      <c r="C82" s="181"/>
      <c r="D82" s="181"/>
      <c r="E82" s="181"/>
      <c r="F82" s="181"/>
      <c r="G82" s="181"/>
      <c r="H82" s="181"/>
      <c r="I82" s="181"/>
      <c r="J82" s="181"/>
      <c r="K82" s="181"/>
      <c r="L82" s="181"/>
      <c r="M82" s="181"/>
      <c r="N82" s="181"/>
      <c r="O82" s="181"/>
      <c r="P82" s="181"/>
      <c r="Q82" s="181"/>
      <c r="R82" s="181"/>
      <c r="S82" s="181"/>
      <c r="T82" s="181"/>
      <c r="U82" s="181"/>
      <c r="V82" s="181"/>
    </row>
    <row r="83" spans="2:22" ht="74.25" customHeight="1">
      <c r="B83" s="181"/>
      <c r="C83" s="181"/>
      <c r="D83" s="181"/>
      <c r="E83" s="181"/>
      <c r="F83" s="181"/>
      <c r="G83" s="181"/>
      <c r="H83" s="181"/>
      <c r="I83" s="181"/>
      <c r="J83" s="181"/>
      <c r="K83" s="181"/>
      <c r="L83" s="181"/>
      <c r="M83" s="181"/>
      <c r="N83" s="181"/>
      <c r="O83" s="181"/>
      <c r="P83" s="181"/>
      <c r="Q83" s="181"/>
      <c r="R83" s="181"/>
      <c r="S83" s="181"/>
      <c r="T83" s="181"/>
      <c r="U83" s="181"/>
      <c r="V83" s="181"/>
    </row>
    <row r="84" spans="2:22" ht="74.25" customHeight="1">
      <c r="B84" s="181"/>
      <c r="C84" s="181"/>
      <c r="D84" s="181"/>
      <c r="E84" s="181"/>
      <c r="F84" s="181"/>
      <c r="G84" s="181"/>
      <c r="H84" s="181"/>
      <c r="I84" s="181"/>
      <c r="J84" s="181"/>
      <c r="K84" s="181"/>
      <c r="L84" s="181"/>
      <c r="M84" s="181"/>
      <c r="N84" s="181"/>
      <c r="O84" s="181"/>
      <c r="P84" s="181"/>
      <c r="Q84" s="181"/>
      <c r="R84" s="181"/>
      <c r="S84" s="181"/>
      <c r="T84" s="181"/>
      <c r="U84" s="181"/>
      <c r="V84" s="181"/>
    </row>
    <row r="85" spans="2:22" ht="74.25" customHeight="1">
      <c r="B85" s="181"/>
      <c r="C85" s="181"/>
      <c r="D85" s="181"/>
      <c r="E85" s="181"/>
      <c r="F85" s="181"/>
      <c r="G85" s="181"/>
      <c r="H85" s="181"/>
      <c r="I85" s="181"/>
      <c r="J85" s="181"/>
      <c r="K85" s="181"/>
      <c r="L85" s="181"/>
      <c r="M85" s="181"/>
      <c r="N85" s="181"/>
      <c r="O85" s="181"/>
      <c r="P85" s="181"/>
      <c r="Q85" s="181"/>
      <c r="R85" s="181"/>
      <c r="S85" s="181"/>
      <c r="T85" s="181"/>
      <c r="U85" s="181"/>
      <c r="V85" s="181"/>
    </row>
    <row r="86" spans="2:22" ht="74.25" customHeight="1">
      <c r="B86" s="181"/>
      <c r="C86" s="181"/>
      <c r="D86" s="181"/>
      <c r="E86" s="181"/>
      <c r="F86" s="181"/>
      <c r="G86" s="181"/>
      <c r="H86" s="181"/>
      <c r="I86" s="181"/>
      <c r="J86" s="181"/>
      <c r="K86" s="181"/>
      <c r="L86" s="181"/>
      <c r="M86" s="181"/>
      <c r="N86" s="181"/>
      <c r="O86" s="181"/>
      <c r="P86" s="181"/>
      <c r="Q86" s="181"/>
      <c r="R86" s="181"/>
      <c r="S86" s="181"/>
      <c r="T86" s="181"/>
      <c r="U86" s="181"/>
      <c r="V86" s="181"/>
    </row>
    <row r="87" spans="2:22" ht="74.25" customHeight="1">
      <c r="B87" s="181"/>
      <c r="C87" s="181"/>
      <c r="D87" s="181"/>
      <c r="E87" s="181"/>
      <c r="F87" s="181"/>
      <c r="G87" s="181"/>
      <c r="H87" s="181"/>
      <c r="I87" s="181"/>
      <c r="J87" s="181"/>
      <c r="K87" s="181"/>
      <c r="L87" s="181"/>
      <c r="M87" s="181"/>
      <c r="N87" s="181"/>
      <c r="O87" s="181"/>
      <c r="P87" s="181"/>
      <c r="Q87" s="181"/>
      <c r="R87" s="181"/>
      <c r="S87" s="181"/>
      <c r="T87" s="181"/>
      <c r="U87" s="181"/>
      <c r="V87" s="181"/>
    </row>
    <row r="88" spans="2:22" ht="74.25" customHeight="1">
      <c r="B88" s="181"/>
      <c r="C88" s="181"/>
      <c r="D88" s="181"/>
      <c r="E88" s="181"/>
      <c r="F88" s="181"/>
      <c r="G88" s="181"/>
      <c r="H88" s="181"/>
      <c r="I88" s="181"/>
      <c r="J88" s="181"/>
      <c r="K88" s="181"/>
      <c r="L88" s="181"/>
      <c r="M88" s="181"/>
      <c r="N88" s="181"/>
      <c r="O88" s="181"/>
      <c r="P88" s="181"/>
      <c r="Q88" s="181"/>
      <c r="R88" s="181"/>
      <c r="S88" s="181"/>
      <c r="T88" s="181"/>
      <c r="U88" s="181"/>
      <c r="V88" s="181"/>
    </row>
    <row r="89" spans="2:22" ht="74.25" customHeight="1">
      <c r="B89" s="181"/>
      <c r="C89" s="181"/>
      <c r="D89" s="181"/>
      <c r="E89" s="181"/>
      <c r="F89" s="181"/>
      <c r="G89" s="181"/>
      <c r="H89" s="181"/>
      <c r="I89" s="181"/>
      <c r="J89" s="181"/>
      <c r="K89" s="181"/>
      <c r="L89" s="181"/>
      <c r="M89" s="181"/>
      <c r="N89" s="181"/>
      <c r="O89" s="181"/>
      <c r="P89" s="181"/>
      <c r="Q89" s="181"/>
      <c r="R89" s="181"/>
      <c r="S89" s="181"/>
      <c r="T89" s="181"/>
      <c r="U89" s="181"/>
      <c r="V89" s="181"/>
    </row>
    <row r="90" spans="2:22" ht="74.25" customHeight="1">
      <c r="B90" s="181"/>
      <c r="C90" s="181"/>
      <c r="D90" s="181"/>
      <c r="E90" s="181"/>
      <c r="F90" s="181"/>
      <c r="G90" s="181"/>
      <c r="H90" s="181"/>
      <c r="I90" s="181"/>
      <c r="J90" s="181"/>
      <c r="K90" s="181"/>
      <c r="L90" s="181"/>
      <c r="M90" s="181"/>
      <c r="N90" s="181"/>
      <c r="O90" s="181"/>
      <c r="P90" s="181"/>
      <c r="Q90" s="181"/>
      <c r="R90" s="181"/>
      <c r="S90" s="181"/>
      <c r="T90" s="181"/>
      <c r="U90" s="181"/>
      <c r="V90" s="181"/>
    </row>
    <row r="91" spans="2:22" ht="74.25" customHeight="1">
      <c r="B91" s="181"/>
      <c r="C91" s="181"/>
      <c r="D91" s="181"/>
      <c r="E91" s="181"/>
      <c r="F91" s="181"/>
      <c r="G91" s="181"/>
      <c r="H91" s="181"/>
      <c r="I91" s="181"/>
      <c r="J91" s="181"/>
      <c r="K91" s="181"/>
      <c r="L91" s="181"/>
      <c r="M91" s="181"/>
      <c r="N91" s="181"/>
      <c r="O91" s="181"/>
      <c r="P91" s="181"/>
      <c r="Q91" s="181"/>
      <c r="R91" s="181"/>
      <c r="S91" s="181"/>
      <c r="T91" s="181"/>
      <c r="U91" s="181"/>
      <c r="V91" s="181"/>
    </row>
    <row r="92" spans="2:22" ht="74.25" customHeight="1">
      <c r="B92" s="181"/>
      <c r="C92" s="181"/>
      <c r="D92" s="181"/>
      <c r="E92" s="181"/>
      <c r="F92" s="181"/>
      <c r="G92" s="181"/>
      <c r="H92" s="181"/>
      <c r="I92" s="181"/>
      <c r="J92" s="181"/>
      <c r="K92" s="181"/>
      <c r="L92" s="181"/>
      <c r="M92" s="181"/>
      <c r="N92" s="181"/>
      <c r="O92" s="181"/>
      <c r="P92" s="181"/>
      <c r="Q92" s="181"/>
      <c r="R92" s="181"/>
      <c r="S92" s="181"/>
      <c r="T92" s="181"/>
      <c r="U92" s="181"/>
      <c r="V92" s="181"/>
    </row>
    <row r="93" spans="2:22" ht="74.25" customHeight="1">
      <c r="B93" s="181"/>
      <c r="C93" s="181"/>
      <c r="D93" s="181"/>
      <c r="E93" s="181"/>
      <c r="F93" s="181"/>
      <c r="G93" s="181"/>
      <c r="H93" s="181"/>
      <c r="I93" s="181"/>
      <c r="J93" s="181"/>
      <c r="K93" s="181"/>
      <c r="L93" s="181"/>
      <c r="M93" s="181"/>
      <c r="N93" s="181"/>
      <c r="O93" s="181"/>
      <c r="P93" s="181"/>
      <c r="Q93" s="181"/>
      <c r="R93" s="181"/>
      <c r="S93" s="181"/>
      <c r="T93" s="181"/>
      <c r="U93" s="181"/>
      <c r="V93" s="181"/>
    </row>
    <row r="94" spans="2:22" ht="74.25" customHeight="1">
      <c r="B94" s="181"/>
      <c r="C94" s="181"/>
      <c r="D94" s="181"/>
      <c r="E94" s="181"/>
      <c r="F94" s="181"/>
      <c r="G94" s="181"/>
      <c r="H94" s="181"/>
      <c r="I94" s="181"/>
      <c r="J94" s="181"/>
      <c r="K94" s="181"/>
      <c r="L94" s="181"/>
      <c r="M94" s="181"/>
      <c r="N94" s="181"/>
      <c r="O94" s="181"/>
      <c r="P94" s="181"/>
      <c r="Q94" s="181"/>
      <c r="R94" s="181"/>
      <c r="S94" s="181"/>
      <c r="T94" s="181"/>
      <c r="U94" s="181"/>
      <c r="V94" s="181"/>
    </row>
    <row r="95" spans="2:22" ht="74.25" customHeight="1">
      <c r="B95" s="181"/>
      <c r="C95" s="181"/>
      <c r="D95" s="181"/>
      <c r="E95" s="181"/>
      <c r="F95" s="181"/>
      <c r="G95" s="181"/>
      <c r="H95" s="181"/>
      <c r="I95" s="181"/>
      <c r="J95" s="181"/>
      <c r="K95" s="181"/>
      <c r="L95" s="181"/>
      <c r="M95" s="181"/>
      <c r="N95" s="181"/>
      <c r="O95" s="181"/>
      <c r="P95" s="181"/>
      <c r="Q95" s="181"/>
      <c r="R95" s="181"/>
      <c r="S95" s="181"/>
      <c r="T95" s="181"/>
      <c r="U95" s="181"/>
      <c r="V95" s="181"/>
    </row>
    <row r="96" spans="2:22" ht="74.25" customHeight="1">
      <c r="B96" s="181"/>
      <c r="C96" s="181"/>
      <c r="D96" s="181"/>
      <c r="E96" s="181"/>
      <c r="F96" s="181"/>
      <c r="G96" s="181"/>
      <c r="H96" s="181"/>
      <c r="I96" s="181"/>
      <c r="J96" s="181"/>
      <c r="K96" s="181"/>
      <c r="L96" s="181"/>
      <c r="M96" s="181"/>
      <c r="N96" s="181"/>
      <c r="O96" s="181"/>
      <c r="P96" s="181"/>
      <c r="Q96" s="181"/>
      <c r="R96" s="181"/>
      <c r="S96" s="181"/>
      <c r="T96" s="181"/>
      <c r="U96" s="181"/>
      <c r="V96" s="181"/>
    </row>
    <row r="97" spans="2:22" ht="74.25" customHeight="1">
      <c r="B97" s="181"/>
      <c r="C97" s="181"/>
      <c r="D97" s="181"/>
      <c r="E97" s="181"/>
      <c r="F97" s="181"/>
      <c r="G97" s="181"/>
      <c r="H97" s="181"/>
      <c r="I97" s="181"/>
      <c r="J97" s="181"/>
      <c r="K97" s="181"/>
      <c r="L97" s="181"/>
      <c r="M97" s="181"/>
      <c r="N97" s="181"/>
      <c r="O97" s="181"/>
      <c r="P97" s="181"/>
      <c r="Q97" s="181"/>
      <c r="R97" s="181"/>
      <c r="S97" s="181"/>
      <c r="T97" s="181"/>
      <c r="U97" s="181"/>
      <c r="V97" s="181"/>
    </row>
    <row r="98" spans="2:22" ht="74.25" customHeight="1">
      <c r="B98" s="181"/>
      <c r="C98" s="181"/>
      <c r="D98" s="181"/>
      <c r="E98" s="181"/>
      <c r="F98" s="181"/>
      <c r="G98" s="181"/>
      <c r="H98" s="181"/>
      <c r="I98" s="181"/>
      <c r="J98" s="181"/>
      <c r="K98" s="181"/>
      <c r="L98" s="181"/>
      <c r="M98" s="181"/>
      <c r="N98" s="181"/>
      <c r="O98" s="181"/>
      <c r="P98" s="181"/>
      <c r="Q98" s="181"/>
      <c r="R98" s="181"/>
      <c r="S98" s="181"/>
      <c r="T98" s="181"/>
      <c r="U98" s="181"/>
      <c r="V98" s="181"/>
    </row>
    <row r="99" spans="2:22" ht="74.25" customHeight="1">
      <c r="B99" s="181"/>
      <c r="C99" s="181"/>
      <c r="D99" s="181"/>
      <c r="E99" s="181"/>
      <c r="F99" s="181"/>
      <c r="G99" s="181"/>
      <c r="H99" s="181"/>
      <c r="I99" s="181"/>
      <c r="J99" s="181"/>
      <c r="K99" s="181"/>
      <c r="L99" s="181"/>
      <c r="M99" s="181"/>
      <c r="N99" s="181"/>
      <c r="O99" s="181"/>
      <c r="P99" s="181"/>
      <c r="Q99" s="181"/>
      <c r="R99" s="181"/>
      <c r="S99" s="181"/>
      <c r="T99" s="181"/>
      <c r="U99" s="181"/>
      <c r="V99" s="181"/>
    </row>
    <row r="100" spans="2:22" ht="74.25" customHeight="1">
      <c r="B100" s="181"/>
      <c r="C100" s="181"/>
      <c r="D100" s="181"/>
      <c r="E100" s="181"/>
      <c r="F100" s="181"/>
      <c r="G100" s="181"/>
      <c r="H100" s="181"/>
      <c r="I100" s="181"/>
      <c r="J100" s="181"/>
      <c r="K100" s="181"/>
      <c r="L100" s="181"/>
      <c r="M100" s="181"/>
      <c r="N100" s="181"/>
      <c r="O100" s="181"/>
      <c r="P100" s="181"/>
      <c r="Q100" s="181"/>
      <c r="R100" s="181"/>
      <c r="S100" s="181"/>
      <c r="T100" s="181"/>
      <c r="U100" s="181"/>
      <c r="V100" s="181"/>
    </row>
    <row r="101" spans="2:22" ht="74.25" customHeight="1">
      <c r="B101" s="181"/>
      <c r="C101" s="181"/>
      <c r="D101" s="181"/>
      <c r="E101" s="181"/>
      <c r="F101" s="181"/>
      <c r="G101" s="181"/>
      <c r="H101" s="181"/>
      <c r="I101" s="181"/>
      <c r="J101" s="181"/>
      <c r="K101" s="181"/>
      <c r="L101" s="181"/>
      <c r="M101" s="181"/>
      <c r="N101" s="181"/>
      <c r="O101" s="181"/>
      <c r="P101" s="181"/>
      <c r="Q101" s="181"/>
      <c r="R101" s="181"/>
      <c r="S101" s="181"/>
      <c r="T101" s="181"/>
      <c r="U101" s="181"/>
      <c r="V101" s="181"/>
    </row>
    <row r="102" spans="2:22" ht="74.25" customHeight="1">
      <c r="B102" s="181"/>
      <c r="C102" s="181"/>
      <c r="D102" s="181"/>
      <c r="E102" s="181"/>
      <c r="F102" s="181"/>
      <c r="G102" s="181"/>
      <c r="H102" s="181"/>
      <c r="I102" s="181"/>
      <c r="J102" s="181"/>
      <c r="K102" s="181"/>
      <c r="L102" s="181"/>
      <c r="M102" s="181"/>
      <c r="N102" s="181"/>
      <c r="O102" s="181"/>
      <c r="P102" s="181"/>
      <c r="Q102" s="181"/>
      <c r="R102" s="181"/>
      <c r="S102" s="181"/>
      <c r="T102" s="181"/>
      <c r="U102" s="181"/>
      <c r="V102" s="181"/>
    </row>
    <row r="103" spans="2:22" ht="74.25" customHeight="1">
      <c r="B103" s="181"/>
      <c r="C103" s="181"/>
      <c r="D103" s="181"/>
      <c r="E103" s="181"/>
      <c r="F103" s="181"/>
      <c r="G103" s="181"/>
      <c r="H103" s="181"/>
      <c r="I103" s="181"/>
      <c r="J103" s="181"/>
      <c r="K103" s="181"/>
      <c r="L103" s="181"/>
      <c r="M103" s="181"/>
      <c r="N103" s="181"/>
      <c r="O103" s="181"/>
      <c r="P103" s="181"/>
      <c r="Q103" s="181"/>
      <c r="R103" s="181"/>
      <c r="S103" s="181"/>
      <c r="T103" s="181"/>
      <c r="U103" s="181"/>
      <c r="V103" s="181"/>
    </row>
    <row r="104" spans="2:22" ht="74.25"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row>
    <row r="105" spans="2:22" ht="74.25"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row>
    <row r="106" spans="2:22" ht="74.25" customHeight="1">
      <c r="B106" s="181"/>
      <c r="C106" s="181"/>
      <c r="D106" s="181"/>
      <c r="E106" s="181"/>
      <c r="F106" s="181"/>
      <c r="G106" s="181"/>
      <c r="H106" s="181"/>
      <c r="I106" s="181"/>
      <c r="J106" s="181"/>
      <c r="K106" s="181"/>
      <c r="L106" s="181"/>
      <c r="M106" s="181"/>
      <c r="N106" s="181"/>
      <c r="O106" s="181"/>
      <c r="P106" s="181"/>
      <c r="Q106" s="181"/>
      <c r="R106" s="181"/>
      <c r="S106" s="181"/>
      <c r="T106" s="181"/>
      <c r="U106" s="181"/>
      <c r="V106" s="181"/>
    </row>
    <row r="107" spans="2:22" ht="74.25" customHeight="1">
      <c r="B107" s="181"/>
      <c r="C107" s="181"/>
      <c r="D107" s="181"/>
      <c r="E107" s="181"/>
      <c r="F107" s="181"/>
      <c r="G107" s="181"/>
      <c r="H107" s="181"/>
      <c r="I107" s="181"/>
      <c r="J107" s="181"/>
      <c r="K107" s="181"/>
      <c r="L107" s="181"/>
      <c r="M107" s="181"/>
      <c r="N107" s="181"/>
      <c r="O107" s="181"/>
      <c r="P107" s="181"/>
      <c r="Q107" s="181"/>
      <c r="R107" s="181"/>
      <c r="S107" s="181"/>
      <c r="T107" s="181"/>
      <c r="U107" s="181"/>
      <c r="V107" s="181"/>
    </row>
    <row r="108" spans="2:22" ht="74.25" customHeight="1">
      <c r="B108" s="181"/>
      <c r="C108" s="181"/>
      <c r="D108" s="181"/>
      <c r="E108" s="181"/>
      <c r="F108" s="181"/>
      <c r="G108" s="181"/>
      <c r="H108" s="181"/>
      <c r="I108" s="181"/>
      <c r="J108" s="181"/>
      <c r="K108" s="181"/>
      <c r="L108" s="181"/>
      <c r="M108" s="181"/>
      <c r="N108" s="181"/>
      <c r="O108" s="181"/>
      <c r="P108" s="181"/>
      <c r="Q108" s="181"/>
      <c r="R108" s="181"/>
      <c r="S108" s="181"/>
      <c r="T108" s="181"/>
      <c r="U108" s="181"/>
      <c r="V108" s="181"/>
    </row>
    <row r="109" spans="2:22" ht="74.25" customHeight="1">
      <c r="B109" s="181"/>
      <c r="C109" s="181"/>
      <c r="D109" s="181"/>
      <c r="E109" s="181"/>
      <c r="F109" s="181"/>
      <c r="G109" s="181"/>
      <c r="H109" s="181"/>
      <c r="I109" s="181"/>
      <c r="J109" s="181"/>
      <c r="K109" s="181"/>
      <c r="L109" s="181"/>
      <c r="M109" s="181"/>
      <c r="N109" s="181"/>
      <c r="O109" s="181"/>
      <c r="P109" s="181"/>
      <c r="Q109" s="181"/>
      <c r="R109" s="181"/>
      <c r="S109" s="181"/>
      <c r="T109" s="181"/>
      <c r="U109" s="181"/>
      <c r="V109" s="181"/>
    </row>
    <row r="110" spans="2:22" ht="74.25" customHeight="1">
      <c r="B110" s="181"/>
      <c r="C110" s="181"/>
      <c r="D110" s="181"/>
      <c r="E110" s="181"/>
      <c r="F110" s="181"/>
      <c r="G110" s="181"/>
      <c r="H110" s="181"/>
      <c r="I110" s="181"/>
      <c r="J110" s="181"/>
      <c r="K110" s="181"/>
      <c r="L110" s="181"/>
      <c r="M110" s="181"/>
      <c r="N110" s="181"/>
      <c r="O110" s="181"/>
      <c r="P110" s="181"/>
      <c r="Q110" s="181"/>
      <c r="R110" s="181"/>
      <c r="S110" s="181"/>
      <c r="T110" s="181"/>
      <c r="U110" s="181"/>
      <c r="V110" s="181"/>
    </row>
    <row r="111" spans="2:22" ht="74.25" customHeight="1">
      <c r="B111" s="181"/>
      <c r="C111" s="181"/>
      <c r="D111" s="181"/>
      <c r="E111" s="181"/>
      <c r="F111" s="181"/>
      <c r="G111" s="181"/>
      <c r="H111" s="181"/>
      <c r="I111" s="181"/>
      <c r="J111" s="181"/>
      <c r="K111" s="181"/>
      <c r="L111" s="181"/>
      <c r="M111" s="181"/>
      <c r="N111" s="181"/>
      <c r="O111" s="181"/>
      <c r="P111" s="181"/>
      <c r="Q111" s="181"/>
      <c r="R111" s="181"/>
      <c r="S111" s="181"/>
      <c r="T111" s="181"/>
      <c r="U111" s="181"/>
      <c r="V111" s="181"/>
    </row>
    <row r="112" spans="2:22" ht="74.25" customHeight="1">
      <c r="B112" s="181"/>
      <c r="C112" s="181"/>
      <c r="D112" s="181"/>
      <c r="E112" s="181"/>
      <c r="F112" s="181"/>
      <c r="G112" s="181"/>
      <c r="H112" s="181"/>
      <c r="I112" s="181"/>
      <c r="J112" s="181"/>
      <c r="K112" s="181"/>
      <c r="L112" s="181"/>
      <c r="M112" s="181"/>
      <c r="N112" s="181"/>
      <c r="O112" s="181"/>
      <c r="P112" s="181"/>
      <c r="Q112" s="181"/>
      <c r="R112" s="181"/>
      <c r="S112" s="181"/>
      <c r="T112" s="181"/>
      <c r="U112" s="181"/>
      <c r="V112" s="181"/>
    </row>
    <row r="113" spans="2:22" ht="74.25" customHeight="1">
      <c r="B113" s="181"/>
      <c r="C113" s="181"/>
      <c r="D113" s="181"/>
      <c r="E113" s="181"/>
      <c r="F113" s="181"/>
      <c r="G113" s="181"/>
      <c r="H113" s="181"/>
      <c r="I113" s="181"/>
      <c r="J113" s="181"/>
      <c r="K113" s="181"/>
      <c r="L113" s="181"/>
      <c r="M113" s="181"/>
      <c r="N113" s="181"/>
      <c r="O113" s="181"/>
      <c r="P113" s="181"/>
      <c r="Q113" s="181"/>
      <c r="R113" s="181"/>
      <c r="S113" s="181"/>
      <c r="T113" s="181"/>
      <c r="U113" s="181"/>
      <c r="V113" s="181"/>
    </row>
    <row r="114" spans="2:22" ht="74.25" customHeight="1">
      <c r="B114" s="181"/>
      <c r="C114" s="181"/>
      <c r="D114" s="181"/>
      <c r="E114" s="181"/>
      <c r="F114" s="181"/>
      <c r="G114" s="181"/>
      <c r="H114" s="181"/>
      <c r="I114" s="181"/>
      <c r="J114" s="181"/>
      <c r="K114" s="181"/>
      <c r="L114" s="181"/>
      <c r="M114" s="181"/>
      <c r="N114" s="181"/>
      <c r="O114" s="181"/>
      <c r="P114" s="181"/>
      <c r="Q114" s="181"/>
      <c r="R114" s="181"/>
      <c r="S114" s="181"/>
      <c r="T114" s="181"/>
      <c r="U114" s="181"/>
      <c r="V114" s="181"/>
    </row>
  </sheetData>
  <mergeCells count="10">
    <mergeCell ref="A1:J1"/>
    <mergeCell ref="K1:U1"/>
    <mergeCell ref="A2:J2"/>
    <mergeCell ref="K2:S2"/>
    <mergeCell ref="T2:U2"/>
    <mergeCell ref="A3:A4"/>
    <mergeCell ref="B3:F3"/>
    <mergeCell ref="G3:K3"/>
    <mergeCell ref="L3:P3"/>
    <mergeCell ref="Q3:U3"/>
  </mergeCells>
  <phoneticPr fontId="3" type="noConversion"/>
  <pageMargins left="0.19685039370078741" right="0" top="0.59055118110236227" bottom="0.78740157480314965" header="0" footer="0"/>
  <pageSetup paperSize="9" scale="93" fitToWidth="2"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sheetPr>
    <tabColor rgb="FFFF0000"/>
    <pageSetUpPr autoPageBreaks="0" fitToPage="1"/>
  </sheetPr>
  <dimension ref="A1:R27"/>
  <sheetViews>
    <sheetView view="pageBreakPreview" zoomScale="65" zoomScaleNormal="100" zoomScaleSheetLayoutView="65"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36" customHeight="1"/>
  <cols>
    <col min="1" max="1" width="8.5" style="137" customWidth="1"/>
    <col min="2" max="3" width="11.875" style="137" customWidth="1"/>
    <col min="4" max="4" width="13.5" style="137" customWidth="1"/>
    <col min="5" max="5" width="11.75" style="137" customWidth="1"/>
    <col min="6" max="6" width="10.875" style="137" customWidth="1"/>
    <col min="7" max="7" width="11.625" style="137" customWidth="1"/>
    <col min="8" max="8" width="14" style="137" customWidth="1"/>
    <col min="9" max="9" width="8.625" style="137" customWidth="1"/>
    <col min="10" max="10" width="15.875" style="137" customWidth="1"/>
    <col min="11" max="11" width="13.375" style="137" customWidth="1"/>
    <col min="12" max="12" width="9.625" style="137" customWidth="1"/>
    <col min="13" max="13" width="11.125" style="137" customWidth="1"/>
    <col min="14" max="14" width="13.625" style="137" customWidth="1"/>
    <col min="15" max="15" width="9.625" style="137" customWidth="1"/>
    <col min="16" max="16" width="11.5" style="137" customWidth="1"/>
    <col min="17" max="17" width="11.875" style="137" customWidth="1"/>
    <col min="18" max="16384" width="9" style="122"/>
  </cols>
  <sheetData>
    <row r="1" spans="1:18" ht="33" customHeight="1">
      <c r="A1" s="897" t="s">
        <v>62</v>
      </c>
      <c r="B1" s="897"/>
      <c r="C1" s="897"/>
      <c r="D1" s="897"/>
      <c r="E1" s="897"/>
      <c r="F1" s="897"/>
      <c r="G1" s="897"/>
      <c r="H1" s="897"/>
      <c r="I1" s="897"/>
      <c r="J1" s="893" t="s">
        <v>63</v>
      </c>
      <c r="K1" s="893"/>
      <c r="L1" s="893"/>
      <c r="M1" s="893"/>
      <c r="N1" s="893"/>
      <c r="O1" s="893"/>
      <c r="P1" s="893"/>
      <c r="Q1" s="893"/>
    </row>
    <row r="2" spans="1:18" s="123" customFormat="1" ht="33" customHeight="1">
      <c r="A2" s="898" t="s">
        <v>64</v>
      </c>
      <c r="B2" s="898"/>
      <c r="C2" s="898"/>
      <c r="D2" s="898"/>
      <c r="E2" s="898"/>
      <c r="F2" s="898"/>
      <c r="G2" s="898"/>
      <c r="H2" s="898"/>
      <c r="I2" s="898"/>
      <c r="J2" s="899" t="s">
        <v>398</v>
      </c>
      <c r="K2" s="899"/>
      <c r="L2" s="899"/>
      <c r="M2" s="899"/>
      <c r="N2" s="899"/>
      <c r="O2" s="899"/>
      <c r="P2" s="900" t="s">
        <v>65</v>
      </c>
      <c r="Q2" s="900"/>
    </row>
    <row r="3" spans="1:18" ht="30.2" customHeight="1">
      <c r="A3" s="902" t="s">
        <v>48</v>
      </c>
      <c r="B3" s="904" t="s">
        <v>49</v>
      </c>
      <c r="C3" s="896" t="s">
        <v>82</v>
      </c>
      <c r="D3" s="906"/>
      <c r="E3" s="906"/>
      <c r="F3" s="906"/>
      <c r="G3" s="906"/>
      <c r="H3" s="906"/>
      <c r="I3" s="906"/>
      <c r="J3" s="906"/>
      <c r="K3" s="907"/>
      <c r="L3" s="905" t="s">
        <v>67</v>
      </c>
      <c r="M3" s="908"/>
      <c r="N3" s="908"/>
      <c r="O3" s="895" t="s">
        <v>68</v>
      </c>
      <c r="P3" s="895"/>
      <c r="Q3" s="896"/>
    </row>
    <row r="4" spans="1:18" ht="48.95" customHeight="1">
      <c r="A4" s="903"/>
      <c r="B4" s="905"/>
      <c r="C4" s="709" t="s">
        <v>58</v>
      </c>
      <c r="D4" s="712" t="s">
        <v>69</v>
      </c>
      <c r="E4" s="712" t="s">
        <v>70</v>
      </c>
      <c r="F4" s="684" t="s">
        <v>97</v>
      </c>
      <c r="G4" s="684" t="s">
        <v>96</v>
      </c>
      <c r="H4" s="713" t="s">
        <v>95</v>
      </c>
      <c r="I4" s="710" t="s">
        <v>71</v>
      </c>
      <c r="J4" s="714" t="s">
        <v>983</v>
      </c>
      <c r="K4" s="714" t="s">
        <v>984</v>
      </c>
      <c r="L4" s="709" t="s">
        <v>58</v>
      </c>
      <c r="M4" s="684" t="s">
        <v>83</v>
      </c>
      <c r="N4" s="684" t="s">
        <v>190</v>
      </c>
      <c r="O4" s="709" t="s">
        <v>58</v>
      </c>
      <c r="P4" s="684" t="s">
        <v>77</v>
      </c>
      <c r="Q4" s="711" t="s">
        <v>78</v>
      </c>
    </row>
    <row r="5" spans="1:18" s="126" customFormat="1" ht="103.7" customHeight="1">
      <c r="A5" s="124" t="s">
        <v>61</v>
      </c>
      <c r="B5" s="95">
        <f>SUM(B6:B10)</f>
        <v>45657</v>
      </c>
      <c r="C5" s="86">
        <f>SUM(C6:C10)</f>
        <v>45657</v>
      </c>
      <c r="D5" s="86">
        <f t="shared" ref="D5:N5" si="0">SUM(D6:D10)</f>
        <v>0</v>
      </c>
      <c r="E5" s="86">
        <f t="shared" si="0"/>
        <v>38833</v>
      </c>
      <c r="F5" s="86">
        <f t="shared" si="0"/>
        <v>0</v>
      </c>
      <c r="G5" s="86">
        <f t="shared" si="0"/>
        <v>0</v>
      </c>
      <c r="H5" s="86">
        <f>SUM(H6:H10)</f>
        <v>4021</v>
      </c>
      <c r="I5" s="86">
        <f t="shared" si="0"/>
        <v>0</v>
      </c>
      <c r="J5" s="86">
        <f t="shared" si="0"/>
        <v>170</v>
      </c>
      <c r="K5" s="86">
        <f t="shared" si="0"/>
        <v>2634</v>
      </c>
      <c r="L5" s="86">
        <f>M5+N5</f>
        <v>0</v>
      </c>
      <c r="M5" s="86">
        <f t="shared" si="0"/>
        <v>0</v>
      </c>
      <c r="N5" s="86">
        <f t="shared" si="0"/>
        <v>0</v>
      </c>
      <c r="O5" s="86">
        <f t="shared" ref="O5:O7" si="1">SUM(P5:Q5)</f>
        <v>0</v>
      </c>
      <c r="P5" s="86">
        <f>SUM(P6:P10)</f>
        <v>0</v>
      </c>
      <c r="Q5" s="86">
        <f>SUM(Q6:Q10)</f>
        <v>0</v>
      </c>
      <c r="R5" s="125"/>
    </row>
    <row r="6" spans="1:18" s="128" customFormat="1" ht="103.7" customHeight="1">
      <c r="A6" s="124" t="s">
        <v>50</v>
      </c>
      <c r="B6" s="95">
        <f t="shared" ref="B6:B10" si="2">C6+L6+O6</f>
        <v>43189</v>
      </c>
      <c r="C6" s="86">
        <f>SUM(D6:K6)-1</f>
        <v>43189</v>
      </c>
      <c r="D6" s="86">
        <v>0</v>
      </c>
      <c r="E6" s="86">
        <v>36434</v>
      </c>
      <c r="F6" s="86">
        <v>0</v>
      </c>
      <c r="G6" s="86">
        <v>0</v>
      </c>
      <c r="H6" s="86">
        <v>3997</v>
      </c>
      <c r="I6" s="86">
        <v>0</v>
      </c>
      <c r="J6" s="86">
        <v>135</v>
      </c>
      <c r="K6" s="86">
        <v>2624</v>
      </c>
      <c r="L6" s="86">
        <f t="shared" ref="L6:L7" si="3">M6+N6</f>
        <v>0</v>
      </c>
      <c r="M6" s="86">
        <v>0</v>
      </c>
      <c r="N6" s="86">
        <v>0</v>
      </c>
      <c r="O6" s="86">
        <f t="shared" si="1"/>
        <v>0</v>
      </c>
      <c r="P6" s="86">
        <v>0</v>
      </c>
      <c r="Q6" s="86">
        <v>0</v>
      </c>
      <c r="R6" s="127"/>
    </row>
    <row r="7" spans="1:18" ht="103.7" customHeight="1">
      <c r="A7" s="129" t="s">
        <v>72</v>
      </c>
      <c r="B7" s="95">
        <f t="shared" si="2"/>
        <v>2222</v>
      </c>
      <c r="C7" s="86">
        <f t="shared" ref="C7:C10" si="4">SUM(D7:K7)</f>
        <v>2222</v>
      </c>
      <c r="D7" s="86">
        <v>0</v>
      </c>
      <c r="E7" s="86">
        <v>2153</v>
      </c>
      <c r="F7" s="86">
        <v>0</v>
      </c>
      <c r="G7" s="86">
        <v>0</v>
      </c>
      <c r="H7" s="86">
        <v>24</v>
      </c>
      <c r="I7" s="86">
        <v>0</v>
      </c>
      <c r="J7" s="86">
        <v>35</v>
      </c>
      <c r="K7" s="86">
        <v>10</v>
      </c>
      <c r="L7" s="86">
        <f t="shared" si="3"/>
        <v>0</v>
      </c>
      <c r="M7" s="86">
        <v>0</v>
      </c>
      <c r="N7" s="86">
        <v>0</v>
      </c>
      <c r="O7" s="86">
        <f t="shared" si="1"/>
        <v>0</v>
      </c>
      <c r="P7" s="86">
        <v>0</v>
      </c>
      <c r="Q7" s="86">
        <v>0</v>
      </c>
      <c r="R7" s="130"/>
    </row>
    <row r="8" spans="1:18" ht="103.7" customHeight="1">
      <c r="A8" s="124" t="s">
        <v>51</v>
      </c>
      <c r="B8" s="95">
        <f t="shared" si="2"/>
        <v>246</v>
      </c>
      <c r="C8" s="86">
        <f t="shared" si="4"/>
        <v>246</v>
      </c>
      <c r="D8" s="86">
        <v>0</v>
      </c>
      <c r="E8" s="86">
        <v>246</v>
      </c>
      <c r="F8" s="86">
        <v>0</v>
      </c>
      <c r="G8" s="86">
        <v>0</v>
      </c>
      <c r="H8" s="86">
        <v>0</v>
      </c>
      <c r="I8" s="86">
        <v>0</v>
      </c>
      <c r="J8" s="86">
        <v>0</v>
      </c>
      <c r="K8" s="86">
        <v>0</v>
      </c>
      <c r="L8" s="86">
        <v>0</v>
      </c>
      <c r="M8" s="86">
        <v>0</v>
      </c>
      <c r="N8" s="86">
        <v>0</v>
      </c>
      <c r="O8" s="86">
        <v>0</v>
      </c>
      <c r="P8" s="86">
        <v>0</v>
      </c>
      <c r="Q8" s="86">
        <v>0</v>
      </c>
      <c r="R8" s="130"/>
    </row>
    <row r="9" spans="1:18" ht="103.7" customHeight="1">
      <c r="A9" s="129" t="s">
        <v>73</v>
      </c>
      <c r="B9" s="95">
        <f t="shared" si="2"/>
        <v>0</v>
      </c>
      <c r="C9" s="86">
        <f t="shared" si="4"/>
        <v>0</v>
      </c>
      <c r="D9" s="86">
        <v>0</v>
      </c>
      <c r="E9" s="86">
        <v>0</v>
      </c>
      <c r="F9" s="86">
        <v>0</v>
      </c>
      <c r="G9" s="86">
        <v>0</v>
      </c>
      <c r="H9" s="86">
        <v>0</v>
      </c>
      <c r="I9" s="86">
        <v>0</v>
      </c>
      <c r="J9" s="86">
        <v>0</v>
      </c>
      <c r="K9" s="86">
        <v>0</v>
      </c>
      <c r="L9" s="86">
        <v>0</v>
      </c>
      <c r="M9" s="86">
        <v>0</v>
      </c>
      <c r="N9" s="86">
        <v>0</v>
      </c>
      <c r="O9" s="86">
        <v>0</v>
      </c>
      <c r="P9" s="86">
        <v>0</v>
      </c>
      <c r="Q9" s="86">
        <v>0</v>
      </c>
      <c r="R9" s="130"/>
    </row>
    <row r="10" spans="1:18" ht="103.7" customHeight="1">
      <c r="A10" s="131" t="s">
        <v>57</v>
      </c>
      <c r="B10" s="138">
        <f t="shared" si="2"/>
        <v>0</v>
      </c>
      <c r="C10" s="85">
        <f t="shared" si="4"/>
        <v>0</v>
      </c>
      <c r="D10" s="85">
        <v>0</v>
      </c>
      <c r="E10" s="85">
        <v>0</v>
      </c>
      <c r="F10" s="85">
        <v>0</v>
      </c>
      <c r="G10" s="85">
        <v>0</v>
      </c>
      <c r="H10" s="85">
        <v>0</v>
      </c>
      <c r="I10" s="85">
        <v>0</v>
      </c>
      <c r="J10" s="85">
        <v>0</v>
      </c>
      <c r="K10" s="85">
        <v>0</v>
      </c>
      <c r="L10" s="85">
        <v>0</v>
      </c>
      <c r="M10" s="85">
        <v>0</v>
      </c>
      <c r="N10" s="85">
        <v>0</v>
      </c>
      <c r="O10" s="85">
        <v>0</v>
      </c>
      <c r="P10" s="85">
        <v>0</v>
      </c>
      <c r="Q10" s="85">
        <v>0</v>
      </c>
      <c r="R10" s="130"/>
    </row>
    <row r="11" spans="1:18" ht="31.5" customHeight="1">
      <c r="A11" s="901" t="s">
        <v>985</v>
      </c>
      <c r="B11" s="901"/>
      <c r="C11" s="901"/>
      <c r="D11" s="901"/>
      <c r="E11" s="901"/>
      <c r="F11" s="901"/>
      <c r="G11" s="901"/>
      <c r="H11" s="901"/>
      <c r="I11" s="901"/>
      <c r="J11" s="901"/>
      <c r="K11" s="901"/>
      <c r="L11" s="901"/>
      <c r="M11" s="132"/>
      <c r="N11" s="132"/>
      <c r="O11" s="132"/>
      <c r="P11" s="132"/>
      <c r="Q11" s="132"/>
      <c r="R11" s="133"/>
    </row>
    <row r="12" spans="1:18" ht="57" customHeight="1">
      <c r="A12" s="134" t="s">
        <v>358</v>
      </c>
      <c r="B12" s="135">
        <f>B5-'44支出(政)'!B15</f>
        <v>0</v>
      </c>
      <c r="C12" s="135">
        <f>C5-'44支出(政)'!C15</f>
        <v>0</v>
      </c>
      <c r="D12" s="135">
        <f>D5-'44支出(政)'!D15</f>
        <v>0</v>
      </c>
      <c r="E12" s="135">
        <f>E5-'44支出(政)'!E15</f>
        <v>0</v>
      </c>
      <c r="F12" s="135">
        <f>F5-'44支出(政)'!F15</f>
        <v>0</v>
      </c>
      <c r="G12" s="135">
        <f>G5-'44支出(政)'!G15</f>
        <v>0</v>
      </c>
      <c r="H12" s="135">
        <f>H5-'44支出(政)'!H15</f>
        <v>0</v>
      </c>
      <c r="I12" s="135">
        <f>I5-'44支出(政)'!I15</f>
        <v>0</v>
      </c>
      <c r="J12" s="135">
        <f>J5-'44支出(政)'!J15</f>
        <v>0</v>
      </c>
      <c r="K12" s="135">
        <f>K5-'44支出(政)'!K15</f>
        <v>0</v>
      </c>
      <c r="L12" s="135">
        <f>L5-'44支出(政)'!L15</f>
        <v>0</v>
      </c>
      <c r="M12" s="135">
        <f>M5-'44支出(政)'!M15</f>
        <v>0</v>
      </c>
      <c r="N12" s="135">
        <f>N5-'44支出(政)'!N15</f>
        <v>0</v>
      </c>
      <c r="O12" s="135">
        <f>O5-'44支出(政)'!O15</f>
        <v>0</v>
      </c>
      <c r="P12" s="135">
        <f>P5-'44支出(政)'!P15</f>
        <v>0</v>
      </c>
      <c r="Q12" s="135">
        <f>Q5-'44支出(政)'!Q15</f>
        <v>0</v>
      </c>
      <c r="R12" s="133"/>
    </row>
    <row r="13" spans="1:18" ht="36" customHeight="1">
      <c r="A13" s="132"/>
      <c r="B13" s="136"/>
      <c r="C13" s="136"/>
      <c r="L13" s="136"/>
      <c r="O13" s="136"/>
    </row>
    <row r="14" spans="1:18" ht="36" customHeight="1">
      <c r="B14" s="136"/>
    </row>
    <row r="15" spans="1:18" ht="36" customHeight="1">
      <c r="B15" s="136"/>
    </row>
    <row r="27" spans="2:3" ht="36" customHeight="1">
      <c r="B27" s="141"/>
      <c r="C27" s="141"/>
    </row>
  </sheetData>
  <mergeCells count="11">
    <mergeCell ref="A11:L11"/>
    <mergeCell ref="A3:A4"/>
    <mergeCell ref="B3:B4"/>
    <mergeCell ref="C3:K3"/>
    <mergeCell ref="L3:N3"/>
    <mergeCell ref="O3:Q3"/>
    <mergeCell ref="A1:I1"/>
    <mergeCell ref="J1:Q1"/>
    <mergeCell ref="A2:I2"/>
    <mergeCell ref="J2:O2"/>
    <mergeCell ref="P2:Q2"/>
  </mergeCells>
  <phoneticPr fontId="3" type="noConversion"/>
  <pageMargins left="0.43307086614173229" right="0" top="0.59055118110236227" bottom="0.43307086614173229" header="0" footer="0"/>
  <pageSetup paperSize="9" scale="94" fitToWidth="2" orientation="portrait" r:id="rId1"/>
  <headerFooter alignWithMargins="0"/>
  <legacyDrawing r:id="rId2"/>
</worksheet>
</file>

<file path=xl/worksheets/sheet43.xml><?xml version="1.0" encoding="utf-8"?>
<worksheet xmlns="http://schemas.openxmlformats.org/spreadsheetml/2006/main" xmlns:r="http://schemas.openxmlformats.org/officeDocument/2006/relationships">
  <sheetPr>
    <tabColor rgb="FFFF0000"/>
    <pageSetUpPr autoPageBreaks="0" fitToPage="1"/>
  </sheetPr>
  <dimension ref="A1:R27"/>
  <sheetViews>
    <sheetView view="pageBreakPreview" zoomScale="65" zoomScaleNormal="100" zoomScaleSheetLayoutView="65" workbookViewId="0">
      <pane xSplit="1" ySplit="4" topLeftCell="D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36" customHeight="1"/>
  <cols>
    <col min="1" max="1" width="8.5" style="137" customWidth="1"/>
    <col min="2" max="3" width="11.875" style="137" bestFit="1" customWidth="1"/>
    <col min="4" max="4" width="13.5" style="137" customWidth="1"/>
    <col min="5" max="5" width="11.75" style="137" customWidth="1"/>
    <col min="6" max="6" width="10.875" style="137" customWidth="1"/>
    <col min="7" max="7" width="11.625" style="137" customWidth="1"/>
    <col min="8" max="8" width="14" style="137" customWidth="1"/>
    <col min="9" max="9" width="8.625" style="137" customWidth="1"/>
    <col min="10" max="10" width="15.875" style="137" customWidth="1"/>
    <col min="11" max="11" width="13.375" style="137" customWidth="1"/>
    <col min="12" max="12" width="9.625" style="137" customWidth="1"/>
    <col min="13" max="13" width="11.125" style="137" customWidth="1"/>
    <col min="14" max="14" width="13.625" style="137" customWidth="1"/>
    <col min="15" max="15" width="9.625" style="137" customWidth="1"/>
    <col min="16" max="16" width="11.5" style="137" customWidth="1"/>
    <col min="17" max="17" width="11.875" style="137" customWidth="1"/>
    <col min="18" max="16384" width="9" style="122"/>
  </cols>
  <sheetData>
    <row r="1" spans="1:18" ht="33" customHeight="1">
      <c r="A1" s="897" t="s">
        <v>364</v>
      </c>
      <c r="B1" s="897"/>
      <c r="C1" s="897"/>
      <c r="D1" s="897"/>
      <c r="E1" s="897"/>
      <c r="F1" s="897"/>
      <c r="G1" s="897"/>
      <c r="H1" s="897"/>
      <c r="I1" s="897"/>
      <c r="J1" s="893" t="s">
        <v>63</v>
      </c>
      <c r="K1" s="893"/>
      <c r="L1" s="893"/>
      <c r="M1" s="893"/>
      <c r="N1" s="893"/>
      <c r="O1" s="893"/>
      <c r="P1" s="893"/>
      <c r="Q1" s="893"/>
    </row>
    <row r="2" spans="1:18" s="123" customFormat="1" ht="33" customHeight="1">
      <c r="A2" s="898" t="s">
        <v>64</v>
      </c>
      <c r="B2" s="898"/>
      <c r="C2" s="898"/>
      <c r="D2" s="898"/>
      <c r="E2" s="898"/>
      <c r="F2" s="898"/>
      <c r="G2" s="898"/>
      <c r="H2" s="898"/>
      <c r="I2" s="898"/>
      <c r="J2" s="899" t="s">
        <v>398</v>
      </c>
      <c r="K2" s="899"/>
      <c r="L2" s="899"/>
      <c r="M2" s="899"/>
      <c r="N2" s="899"/>
      <c r="O2" s="899"/>
      <c r="P2" s="900" t="s">
        <v>65</v>
      </c>
      <c r="Q2" s="900"/>
    </row>
    <row r="3" spans="1:18" ht="30.2" customHeight="1">
      <c r="A3" s="902" t="s">
        <v>48</v>
      </c>
      <c r="B3" s="904" t="s">
        <v>49</v>
      </c>
      <c r="C3" s="896" t="s">
        <v>66</v>
      </c>
      <c r="D3" s="906"/>
      <c r="E3" s="906"/>
      <c r="F3" s="906"/>
      <c r="G3" s="906"/>
      <c r="H3" s="906"/>
      <c r="I3" s="906"/>
      <c r="J3" s="906"/>
      <c r="K3" s="907"/>
      <c r="L3" s="905" t="s">
        <v>67</v>
      </c>
      <c r="M3" s="908"/>
      <c r="N3" s="908"/>
      <c r="O3" s="895" t="s">
        <v>68</v>
      </c>
      <c r="P3" s="895"/>
      <c r="Q3" s="896"/>
    </row>
    <row r="4" spans="1:18" ht="45" customHeight="1">
      <c r="A4" s="903"/>
      <c r="B4" s="905"/>
      <c r="C4" s="709" t="s">
        <v>58</v>
      </c>
      <c r="D4" s="684" t="s">
        <v>74</v>
      </c>
      <c r="E4" s="709" t="s">
        <v>75</v>
      </c>
      <c r="F4" s="684" t="s">
        <v>97</v>
      </c>
      <c r="G4" s="684" t="s">
        <v>96</v>
      </c>
      <c r="H4" s="711" t="s">
        <v>76</v>
      </c>
      <c r="I4" s="710" t="s">
        <v>71</v>
      </c>
      <c r="J4" s="714" t="s">
        <v>983</v>
      </c>
      <c r="K4" s="714" t="s">
        <v>984</v>
      </c>
      <c r="L4" s="709" t="s">
        <v>58</v>
      </c>
      <c r="M4" s="684" t="s">
        <v>83</v>
      </c>
      <c r="N4" s="684" t="s">
        <v>190</v>
      </c>
      <c r="O4" s="709" t="s">
        <v>58</v>
      </c>
      <c r="P4" s="684" t="s">
        <v>77</v>
      </c>
      <c r="Q4" s="711" t="s">
        <v>78</v>
      </c>
    </row>
    <row r="5" spans="1:18" s="126" customFormat="1" ht="97.35" customHeight="1">
      <c r="A5" s="124" t="s">
        <v>61</v>
      </c>
      <c r="B5" s="95">
        <f t="shared" ref="B5:B10" si="0">C5+L5+O5</f>
        <v>43331055</v>
      </c>
      <c r="C5" s="86">
        <f>SUM(C6:C10)+1</f>
        <v>41925759</v>
      </c>
      <c r="D5" s="86">
        <f>SUM(D6:D10)-1</f>
        <v>993244</v>
      </c>
      <c r="E5" s="86">
        <f t="shared" ref="E5:J5" si="1">SUM(E6:E10)</f>
        <v>39493372</v>
      </c>
      <c r="F5" s="86">
        <f>SUM(F6:F10)-1</f>
        <v>39553</v>
      </c>
      <c r="G5" s="86">
        <f t="shared" si="1"/>
        <v>1735</v>
      </c>
      <c r="H5" s="86">
        <f t="shared" si="1"/>
        <v>462168</v>
      </c>
      <c r="I5" s="86">
        <f>SUM(I6:I10)-1</f>
        <v>22111</v>
      </c>
      <c r="J5" s="86">
        <f t="shared" si="1"/>
        <v>185112</v>
      </c>
      <c r="K5" s="86">
        <f t="shared" ref="K5:P5" si="2">SUM(K6:K10)</f>
        <v>728464</v>
      </c>
      <c r="L5" s="86">
        <f>SUM(L6:L10)</f>
        <v>1103950</v>
      </c>
      <c r="M5" s="86">
        <f>SUM(M6:M10)-1</f>
        <v>372814</v>
      </c>
      <c r="N5" s="86">
        <f>SUM(N6:N10)-1</f>
        <v>731136</v>
      </c>
      <c r="O5" s="86">
        <f>SUM(O6:O10)-1</f>
        <v>301346</v>
      </c>
      <c r="P5" s="86">
        <f t="shared" si="2"/>
        <v>228019</v>
      </c>
      <c r="Q5" s="86">
        <f>SUM(Q6:Q10)-1</f>
        <v>73326</v>
      </c>
      <c r="R5" s="125"/>
    </row>
    <row r="6" spans="1:18" s="128" customFormat="1" ht="97.35" customHeight="1">
      <c r="A6" s="124" t="s">
        <v>50</v>
      </c>
      <c r="B6" s="95">
        <f t="shared" si="0"/>
        <v>17965387</v>
      </c>
      <c r="C6" s="86">
        <f>SUM(D6:K6)-1</f>
        <v>17424236</v>
      </c>
      <c r="D6" s="86">
        <v>336573</v>
      </c>
      <c r="E6" s="86">
        <v>16461351</v>
      </c>
      <c r="F6" s="86">
        <v>13253</v>
      </c>
      <c r="G6" s="86">
        <v>33</v>
      </c>
      <c r="H6" s="86">
        <v>221470</v>
      </c>
      <c r="I6" s="86">
        <v>6247</v>
      </c>
      <c r="J6" s="86">
        <v>78592</v>
      </c>
      <c r="K6" s="86">
        <v>306718</v>
      </c>
      <c r="L6" s="86">
        <f>SUM(M6:N6)</f>
        <v>409895</v>
      </c>
      <c r="M6" s="86">
        <v>140307</v>
      </c>
      <c r="N6" s="86">
        <v>269588</v>
      </c>
      <c r="O6" s="86">
        <f>SUM(P6:Q6)+1</f>
        <v>131256</v>
      </c>
      <c r="P6" s="86">
        <v>96269</v>
      </c>
      <c r="Q6" s="86">
        <v>34986</v>
      </c>
      <c r="R6" s="127"/>
    </row>
    <row r="7" spans="1:18" ht="97.35" customHeight="1">
      <c r="A7" s="129" t="s">
        <v>72</v>
      </c>
      <c r="B7" s="95">
        <f t="shared" si="0"/>
        <v>13381571</v>
      </c>
      <c r="C7" s="86">
        <f>SUM(D7:K7)-1</f>
        <v>12918446</v>
      </c>
      <c r="D7" s="86">
        <v>338513</v>
      </c>
      <c r="E7" s="86">
        <v>12159229</v>
      </c>
      <c r="F7" s="86">
        <v>11657</v>
      </c>
      <c r="G7" s="86">
        <v>1205</v>
      </c>
      <c r="H7" s="86">
        <v>140605</v>
      </c>
      <c r="I7" s="86">
        <v>9518</v>
      </c>
      <c r="J7" s="86">
        <v>61929</v>
      </c>
      <c r="K7" s="86">
        <v>195791</v>
      </c>
      <c r="L7" s="86">
        <f>SUM(M7:N7)</f>
        <v>374419</v>
      </c>
      <c r="M7" s="86">
        <v>135846</v>
      </c>
      <c r="N7" s="86">
        <v>238573</v>
      </c>
      <c r="O7" s="86">
        <f t="shared" ref="O7:O10" si="3">SUM(P7:Q7)</f>
        <v>88706</v>
      </c>
      <c r="P7" s="86">
        <v>74295</v>
      </c>
      <c r="Q7" s="86">
        <v>14411</v>
      </c>
      <c r="R7" s="130"/>
    </row>
    <row r="8" spans="1:18" ht="97.35" customHeight="1">
      <c r="A8" s="124" t="s">
        <v>51</v>
      </c>
      <c r="B8" s="95">
        <f t="shared" si="0"/>
        <v>6832490</v>
      </c>
      <c r="C8" s="86">
        <f>SUM(D8:K8)-1</f>
        <v>6601165</v>
      </c>
      <c r="D8" s="86">
        <v>238268</v>
      </c>
      <c r="E8" s="86">
        <v>6156000</v>
      </c>
      <c r="F8" s="86">
        <v>3945</v>
      </c>
      <c r="G8" s="86">
        <v>473</v>
      </c>
      <c r="H8" s="86">
        <v>67248</v>
      </c>
      <c r="I8" s="86">
        <v>4965</v>
      </c>
      <c r="J8" s="86">
        <v>27766</v>
      </c>
      <c r="K8" s="86">
        <v>102501</v>
      </c>
      <c r="L8" s="86">
        <f>SUM(M8:N8)-1</f>
        <v>202515</v>
      </c>
      <c r="M8" s="86">
        <v>60089</v>
      </c>
      <c r="N8" s="86">
        <v>142427</v>
      </c>
      <c r="O8" s="86">
        <f t="shared" si="3"/>
        <v>28810</v>
      </c>
      <c r="P8" s="86">
        <v>21716</v>
      </c>
      <c r="Q8" s="86">
        <v>7094</v>
      </c>
      <c r="R8" s="130"/>
    </row>
    <row r="9" spans="1:18" ht="97.35" customHeight="1">
      <c r="A9" s="129" t="s">
        <v>73</v>
      </c>
      <c r="B9" s="95">
        <f t="shared" si="0"/>
        <v>1614407</v>
      </c>
      <c r="C9" s="86">
        <f>SUM(D9:K9)-1</f>
        <v>1543464</v>
      </c>
      <c r="D9" s="86">
        <v>27217</v>
      </c>
      <c r="E9" s="86">
        <v>1443152</v>
      </c>
      <c r="F9" s="86">
        <v>6980</v>
      </c>
      <c r="G9" s="86">
        <v>24</v>
      </c>
      <c r="H9" s="86">
        <v>24112</v>
      </c>
      <c r="I9" s="86">
        <v>0</v>
      </c>
      <c r="J9" s="86">
        <v>4287</v>
      </c>
      <c r="K9" s="86">
        <v>37693</v>
      </c>
      <c r="L9" s="86">
        <f>SUM(M9:N9)</f>
        <v>54888</v>
      </c>
      <c r="M9" s="86">
        <v>21295</v>
      </c>
      <c r="N9" s="86">
        <v>33593</v>
      </c>
      <c r="O9" s="86">
        <f t="shared" si="3"/>
        <v>16055</v>
      </c>
      <c r="P9" s="86">
        <v>14324</v>
      </c>
      <c r="Q9" s="86">
        <v>1731</v>
      </c>
      <c r="R9" s="130"/>
    </row>
    <row r="10" spans="1:18" ht="97.35" customHeight="1">
      <c r="A10" s="131" t="s">
        <v>57</v>
      </c>
      <c r="B10" s="138">
        <f t="shared" si="0"/>
        <v>3537200</v>
      </c>
      <c r="C10" s="85">
        <f t="shared" ref="C10" si="4">SUM(D10:K10)</f>
        <v>3438447</v>
      </c>
      <c r="D10" s="85">
        <v>52674</v>
      </c>
      <c r="E10" s="85">
        <v>3273640</v>
      </c>
      <c r="F10" s="85">
        <v>3719</v>
      </c>
      <c r="G10" s="85">
        <v>0</v>
      </c>
      <c r="H10" s="85">
        <v>8733</v>
      </c>
      <c r="I10" s="85">
        <v>1382</v>
      </c>
      <c r="J10" s="85">
        <v>12538</v>
      </c>
      <c r="K10" s="85">
        <v>85761</v>
      </c>
      <c r="L10" s="85">
        <f>SUM(M10:N10)-1</f>
        <v>62233</v>
      </c>
      <c r="M10" s="85">
        <v>15278</v>
      </c>
      <c r="N10" s="85">
        <v>46956</v>
      </c>
      <c r="O10" s="85">
        <f t="shared" si="3"/>
        <v>36520</v>
      </c>
      <c r="P10" s="85">
        <v>21415</v>
      </c>
      <c r="Q10" s="85">
        <v>15105</v>
      </c>
      <c r="R10" s="130"/>
    </row>
    <row r="11" spans="1:18" ht="29.25" customHeight="1">
      <c r="A11" s="909" t="s">
        <v>1002</v>
      </c>
      <c r="B11" s="909"/>
      <c r="C11" s="909"/>
      <c r="D11" s="909"/>
      <c r="E11" s="909"/>
      <c r="F11" s="909"/>
      <c r="G11" s="909"/>
      <c r="H11" s="909"/>
      <c r="I11" s="909"/>
      <c r="J11" s="909"/>
      <c r="K11" s="909"/>
      <c r="L11" s="132"/>
      <c r="M11" s="132"/>
      <c r="N11" s="132"/>
      <c r="O11" s="132"/>
      <c r="P11" s="132"/>
      <c r="Q11" s="132"/>
      <c r="R11" s="133"/>
    </row>
    <row r="12" spans="1:18" ht="36" customHeight="1">
      <c r="A12" s="134" t="s">
        <v>358</v>
      </c>
      <c r="B12" s="136">
        <f>B5-'45支出(公)'!B15</f>
        <v>0</v>
      </c>
      <c r="C12" s="136">
        <f>C5-'45支出(公)'!C15</f>
        <v>0</v>
      </c>
      <c r="D12" s="136">
        <f>D5-'45支出(公)'!D15</f>
        <v>0</v>
      </c>
      <c r="E12" s="136">
        <f>E5-'45支出(公)'!E15</f>
        <v>0</v>
      </c>
      <c r="F12" s="136">
        <f>F5-'45支出(公)'!F15</f>
        <v>0</v>
      </c>
      <c r="G12" s="136">
        <f>G5-'45支出(公)'!G15</f>
        <v>0</v>
      </c>
      <c r="H12" s="136">
        <f>H5-'45支出(公)'!H15</f>
        <v>0</v>
      </c>
      <c r="I12" s="136">
        <f>I5-'45支出(公)'!I15</f>
        <v>0</v>
      </c>
      <c r="J12" s="136">
        <f>J5-'45支出(公)'!J15</f>
        <v>0</v>
      </c>
      <c r="K12" s="136">
        <f>K5-'45支出(公)'!K15</f>
        <v>0</v>
      </c>
      <c r="L12" s="136">
        <f>L5-'45支出(公)'!L15</f>
        <v>0</v>
      </c>
      <c r="M12" s="136">
        <f>M5-'45支出(公)'!M15</f>
        <v>0</v>
      </c>
      <c r="N12" s="136">
        <f>N5-'45支出(公)'!N15</f>
        <v>0</v>
      </c>
      <c r="O12" s="136">
        <f>O5-'45支出(公)'!O15</f>
        <v>0</v>
      </c>
      <c r="P12" s="136">
        <f>P5-'45支出(公)'!P15</f>
        <v>0</v>
      </c>
      <c r="Q12" s="136">
        <f>Q5-'45支出(公)'!Q15</f>
        <v>0</v>
      </c>
    </row>
    <row r="27" spans="2:3" ht="36" customHeight="1">
      <c r="B27" s="141"/>
      <c r="C27" s="141"/>
    </row>
  </sheetData>
  <mergeCells count="11">
    <mergeCell ref="A11:K11"/>
    <mergeCell ref="A3:A4"/>
    <mergeCell ref="B3:B4"/>
    <mergeCell ref="C3:K3"/>
    <mergeCell ref="O3:Q3"/>
    <mergeCell ref="L3:N3"/>
    <mergeCell ref="A1:I1"/>
    <mergeCell ref="J1:Q1"/>
    <mergeCell ref="A2:I2"/>
    <mergeCell ref="J2:O2"/>
    <mergeCell ref="P2:Q2"/>
  </mergeCells>
  <phoneticPr fontId="3" type="noConversion"/>
  <pageMargins left="0.43307086614173229" right="0" top="0.59055118110236227" bottom="0.43307086614173229" header="0" footer="0"/>
  <pageSetup paperSize="9" scale="94" fitToWidth="2" orientation="portrait" r:id="rId1"/>
  <headerFooter alignWithMargins="0"/>
  <colBreaks count="1" manualBreakCount="1">
    <brk id="8" max="12" man="1"/>
  </colBreaks>
  <legacyDrawing r:id="rId2"/>
</worksheet>
</file>

<file path=xl/worksheets/sheet44.xml><?xml version="1.0" encoding="utf-8"?>
<worksheet xmlns="http://schemas.openxmlformats.org/spreadsheetml/2006/main" xmlns:r="http://schemas.openxmlformats.org/officeDocument/2006/relationships">
  <sheetPr>
    <tabColor rgb="FFFF0000"/>
    <pageSetUpPr autoPageBreaks="0" fitToPage="1"/>
  </sheetPr>
  <dimension ref="A1:R27"/>
  <sheetViews>
    <sheetView view="pageBreakPreview" zoomScale="65" zoomScaleNormal="90" zoomScaleSheetLayoutView="65" workbookViewId="0">
      <pane xSplit="1" ySplit="5" topLeftCell="B6" activePane="bottomRight" state="frozen"/>
      <selection activeCell="E20" sqref="E20"/>
      <selection pane="topRight" activeCell="E20" sqref="E20"/>
      <selection pane="bottomLeft" activeCell="E20" sqref="E20"/>
      <selection pane="bottomRight" activeCell="F8" sqref="F8"/>
    </sheetView>
  </sheetViews>
  <sheetFormatPr defaultColWidth="9" defaultRowHeight="36" customHeight="1"/>
  <cols>
    <col min="1" max="1" width="8.5" style="137" customWidth="1"/>
    <col min="2" max="3" width="11.875" style="137" customWidth="1"/>
    <col min="4" max="4" width="13.5" style="137" customWidth="1"/>
    <col min="5" max="5" width="11.75" style="137" customWidth="1"/>
    <col min="6" max="6" width="10.875" style="137" customWidth="1"/>
    <col min="7" max="7" width="11.625" style="137" customWidth="1"/>
    <col min="8" max="8" width="14" style="137" customWidth="1"/>
    <col min="9" max="9" width="8.625" style="137" customWidth="1"/>
    <col min="10" max="10" width="15.875" style="137" customWidth="1"/>
    <col min="11" max="11" width="13.375" style="137" customWidth="1"/>
    <col min="12" max="12" width="9.625" style="137" customWidth="1"/>
    <col min="13" max="13" width="11.125" style="137" customWidth="1"/>
    <col min="14" max="14" width="13.625" style="137" customWidth="1"/>
    <col min="15" max="15" width="9.625" style="137" customWidth="1"/>
    <col min="16" max="16" width="11.5" style="137" customWidth="1"/>
    <col min="17" max="17" width="11.875" style="137" customWidth="1"/>
    <col min="18" max="16384" width="9" style="122"/>
  </cols>
  <sheetData>
    <row r="1" spans="1:18" ht="33" customHeight="1">
      <c r="A1" s="897" t="s">
        <v>79</v>
      </c>
      <c r="B1" s="897"/>
      <c r="C1" s="897"/>
      <c r="D1" s="897"/>
      <c r="E1" s="897"/>
      <c r="F1" s="897"/>
      <c r="G1" s="897"/>
      <c r="H1" s="897"/>
      <c r="I1" s="897"/>
      <c r="J1" s="893" t="s">
        <v>63</v>
      </c>
      <c r="K1" s="893"/>
      <c r="L1" s="893"/>
      <c r="M1" s="893"/>
      <c r="N1" s="893"/>
      <c r="O1" s="893"/>
      <c r="P1" s="893"/>
      <c r="Q1" s="893"/>
    </row>
    <row r="2" spans="1:18" s="123" customFormat="1" ht="33" customHeight="1">
      <c r="A2" s="898" t="s">
        <v>64</v>
      </c>
      <c r="B2" s="898"/>
      <c r="C2" s="898"/>
      <c r="D2" s="898"/>
      <c r="E2" s="898"/>
      <c r="F2" s="898"/>
      <c r="G2" s="898"/>
      <c r="H2" s="898"/>
      <c r="I2" s="898"/>
      <c r="J2" s="899" t="s">
        <v>398</v>
      </c>
      <c r="K2" s="899"/>
      <c r="L2" s="899"/>
      <c r="M2" s="899"/>
      <c r="N2" s="899"/>
      <c r="O2" s="899"/>
      <c r="P2" s="900" t="s">
        <v>65</v>
      </c>
      <c r="Q2" s="900"/>
    </row>
    <row r="3" spans="1:18" ht="33" customHeight="1">
      <c r="A3" s="902" t="s">
        <v>48</v>
      </c>
      <c r="B3" s="904" t="s">
        <v>49</v>
      </c>
      <c r="C3" s="896" t="s">
        <v>66</v>
      </c>
      <c r="D3" s="906"/>
      <c r="E3" s="906"/>
      <c r="F3" s="906"/>
      <c r="G3" s="906"/>
      <c r="H3" s="906"/>
      <c r="I3" s="906"/>
      <c r="J3" s="906"/>
      <c r="K3" s="907"/>
      <c r="L3" s="905" t="s">
        <v>67</v>
      </c>
      <c r="M3" s="908"/>
      <c r="N3" s="908"/>
      <c r="O3" s="895" t="s">
        <v>68</v>
      </c>
      <c r="P3" s="895"/>
      <c r="Q3" s="896"/>
    </row>
    <row r="4" spans="1:18" ht="45" customHeight="1">
      <c r="A4" s="903"/>
      <c r="B4" s="905"/>
      <c r="C4" s="709" t="s">
        <v>58</v>
      </c>
      <c r="D4" s="709" t="s">
        <v>74</v>
      </c>
      <c r="E4" s="709" t="s">
        <v>75</v>
      </c>
      <c r="F4" s="684" t="s">
        <v>97</v>
      </c>
      <c r="G4" s="684" t="s">
        <v>96</v>
      </c>
      <c r="H4" s="711" t="s">
        <v>76</v>
      </c>
      <c r="I4" s="710" t="s">
        <v>71</v>
      </c>
      <c r="J4" s="714" t="s">
        <v>983</v>
      </c>
      <c r="K4" s="714" t="s">
        <v>984</v>
      </c>
      <c r="L4" s="709" t="s">
        <v>58</v>
      </c>
      <c r="M4" s="709" t="s">
        <v>10</v>
      </c>
      <c r="N4" s="684" t="s">
        <v>190</v>
      </c>
      <c r="O4" s="709" t="s">
        <v>58</v>
      </c>
      <c r="P4" s="684" t="s">
        <v>77</v>
      </c>
      <c r="Q4" s="711" t="s">
        <v>78</v>
      </c>
    </row>
    <row r="5" spans="1:18" s="718" customFormat="1" ht="120.75" hidden="1" customHeight="1">
      <c r="A5" s="715" t="s">
        <v>345</v>
      </c>
      <c r="B5" s="716">
        <f t="shared" ref="B5:B9" si="0">C5+L5+O5</f>
        <v>12715389</v>
      </c>
      <c r="C5" s="717">
        <f t="shared" ref="C5:C9" si="1">SUM(D5:K5)</f>
        <v>11918397</v>
      </c>
      <c r="D5" s="717">
        <v>3450571</v>
      </c>
      <c r="E5" s="717">
        <v>5454729</v>
      </c>
      <c r="F5" s="717">
        <v>100865</v>
      </c>
      <c r="G5" s="717">
        <v>1027</v>
      </c>
      <c r="H5" s="717">
        <v>2636952</v>
      </c>
      <c r="I5" s="717">
        <v>199650</v>
      </c>
      <c r="J5" s="717">
        <v>67567</v>
      </c>
      <c r="K5" s="717">
        <v>7036</v>
      </c>
      <c r="L5" s="717">
        <f>SUM(M5:N5)</f>
        <v>367505</v>
      </c>
      <c r="M5" s="717">
        <v>264164</v>
      </c>
      <c r="N5" s="717">
        <v>103341</v>
      </c>
      <c r="O5" s="717">
        <f t="shared" ref="O5:O9" si="2">SUM(P5:Q5)</f>
        <v>429487</v>
      </c>
      <c r="P5" s="717">
        <v>100007</v>
      </c>
      <c r="Q5" s="717">
        <v>329480</v>
      </c>
      <c r="R5" s="125"/>
    </row>
    <row r="6" spans="1:18" s="126" customFormat="1" ht="144.6" customHeight="1">
      <c r="A6" s="124" t="s">
        <v>61</v>
      </c>
      <c r="B6" s="95">
        <f>C6+L6+O6+1</f>
        <v>36109790</v>
      </c>
      <c r="C6" s="86">
        <f>SUM(D6:K6)-2</f>
        <v>35478704</v>
      </c>
      <c r="D6" s="86">
        <f>SUM(D7:D9)</f>
        <v>196837</v>
      </c>
      <c r="E6" s="86">
        <f t="shared" ref="E6" si="3">SUM(E7:E9)</f>
        <v>33868095</v>
      </c>
      <c r="F6" s="86">
        <f>SUM(F7:F9)+1</f>
        <v>58892</v>
      </c>
      <c r="G6" s="86">
        <f>SUM(G7:G9)</f>
        <v>1538</v>
      </c>
      <c r="H6" s="86">
        <f>SUM(H7:H9)+1</f>
        <v>721432</v>
      </c>
      <c r="I6" s="86">
        <f>SUM(I7:I9)</f>
        <v>26076</v>
      </c>
      <c r="J6" s="86">
        <f>SUM(J7:J9)-1</f>
        <v>144071</v>
      </c>
      <c r="K6" s="86">
        <f>SUM(K7:K9)+1</f>
        <v>461765</v>
      </c>
      <c r="L6" s="86">
        <f>SUM(M6:N6)</f>
        <v>554087</v>
      </c>
      <c r="M6" s="86">
        <f>SUM(M7:M9)</f>
        <v>217182</v>
      </c>
      <c r="N6" s="86">
        <f>SUM(N7:N9)-1</f>
        <v>336905</v>
      </c>
      <c r="O6" s="86">
        <f t="shared" si="2"/>
        <v>76998</v>
      </c>
      <c r="P6" s="86">
        <f>SUM(P7:P9)</f>
        <v>59543</v>
      </c>
      <c r="Q6" s="86">
        <f>SUM(Q7:Q9)</f>
        <v>17455</v>
      </c>
      <c r="R6" s="125"/>
    </row>
    <row r="7" spans="1:18" s="128" customFormat="1" ht="144.6" customHeight="1">
      <c r="A7" s="124" t="s">
        <v>50</v>
      </c>
      <c r="B7" s="95">
        <f t="shared" si="0"/>
        <v>6839224</v>
      </c>
      <c r="C7" s="86">
        <f t="shared" si="1"/>
        <v>6666190</v>
      </c>
      <c r="D7" s="86">
        <v>60579</v>
      </c>
      <c r="E7" s="86">
        <v>6299487</v>
      </c>
      <c r="F7" s="86">
        <v>18811</v>
      </c>
      <c r="G7" s="86">
        <v>684</v>
      </c>
      <c r="H7" s="86">
        <v>134047</v>
      </c>
      <c r="I7" s="86">
        <v>1282</v>
      </c>
      <c r="J7" s="86">
        <v>35598</v>
      </c>
      <c r="K7" s="86">
        <v>115702</v>
      </c>
      <c r="L7" s="86">
        <f>SUM(M7:N7)</f>
        <v>149139</v>
      </c>
      <c r="M7" s="86">
        <v>57965</v>
      </c>
      <c r="N7" s="86">
        <v>91174</v>
      </c>
      <c r="O7" s="86">
        <f t="shared" si="2"/>
        <v>23895</v>
      </c>
      <c r="P7" s="86">
        <v>15097</v>
      </c>
      <c r="Q7" s="86">
        <v>8798</v>
      </c>
      <c r="R7" s="127"/>
    </row>
    <row r="8" spans="1:18" ht="144.6" customHeight="1">
      <c r="A8" s="129" t="s">
        <v>72</v>
      </c>
      <c r="B8" s="95">
        <f>C8+L8+O8-1</f>
        <v>21140589</v>
      </c>
      <c r="C8" s="86">
        <f>SUM(D8:K8)+1</f>
        <v>20833782</v>
      </c>
      <c r="D8" s="86">
        <v>85323</v>
      </c>
      <c r="E8" s="86">
        <v>20054866</v>
      </c>
      <c r="F8" s="86">
        <v>29251</v>
      </c>
      <c r="G8" s="86">
        <v>617</v>
      </c>
      <c r="H8" s="86">
        <v>349575</v>
      </c>
      <c r="I8" s="86">
        <v>18144</v>
      </c>
      <c r="J8" s="86">
        <v>78404</v>
      </c>
      <c r="K8" s="86">
        <v>217601</v>
      </c>
      <c r="L8" s="86">
        <f>SUM(M8:N8)</f>
        <v>270825</v>
      </c>
      <c r="M8" s="86">
        <v>108773</v>
      </c>
      <c r="N8" s="86">
        <v>162052</v>
      </c>
      <c r="O8" s="86">
        <f t="shared" si="2"/>
        <v>35983</v>
      </c>
      <c r="P8" s="86">
        <v>31773</v>
      </c>
      <c r="Q8" s="86">
        <v>4210</v>
      </c>
      <c r="R8" s="130"/>
    </row>
    <row r="9" spans="1:18" ht="144.6" customHeight="1">
      <c r="A9" s="719" t="s">
        <v>51</v>
      </c>
      <c r="B9" s="138">
        <f t="shared" si="0"/>
        <v>8129976</v>
      </c>
      <c r="C9" s="85">
        <f t="shared" si="1"/>
        <v>7978733</v>
      </c>
      <c r="D9" s="85">
        <v>50935</v>
      </c>
      <c r="E9" s="85">
        <v>7513742</v>
      </c>
      <c r="F9" s="85">
        <v>10829</v>
      </c>
      <c r="G9" s="85">
        <v>237</v>
      </c>
      <c r="H9" s="85">
        <v>237809</v>
      </c>
      <c r="I9" s="85">
        <v>6650</v>
      </c>
      <c r="J9" s="85">
        <v>30070</v>
      </c>
      <c r="K9" s="85">
        <v>128461</v>
      </c>
      <c r="L9" s="85">
        <f>SUM(M9:N9)-1</f>
        <v>134123</v>
      </c>
      <c r="M9" s="85">
        <v>50444</v>
      </c>
      <c r="N9" s="85">
        <v>83680</v>
      </c>
      <c r="O9" s="85">
        <f t="shared" si="2"/>
        <v>17120</v>
      </c>
      <c r="P9" s="85">
        <v>12673</v>
      </c>
      <c r="Q9" s="85">
        <v>4447</v>
      </c>
      <c r="R9" s="130"/>
    </row>
    <row r="10" spans="1:18" ht="29.25" customHeight="1">
      <c r="A10" s="909" t="s">
        <v>1003</v>
      </c>
      <c r="B10" s="909"/>
      <c r="C10" s="909"/>
      <c r="D10" s="909"/>
      <c r="E10" s="909"/>
      <c r="F10" s="909"/>
      <c r="G10" s="909"/>
      <c r="H10" s="909"/>
      <c r="I10" s="909"/>
      <c r="J10" s="909"/>
      <c r="K10" s="909"/>
      <c r="L10" s="132"/>
      <c r="M10" s="132"/>
      <c r="N10" s="132"/>
      <c r="O10" s="132"/>
      <c r="P10" s="132"/>
      <c r="Q10" s="132"/>
      <c r="R10" s="133"/>
    </row>
    <row r="11" spans="1:18" ht="36" customHeight="1">
      <c r="A11" s="134" t="s">
        <v>358</v>
      </c>
      <c r="B11" s="136">
        <f>B6-'46支出(教)-OK  '!B15</f>
        <v>0</v>
      </c>
      <c r="C11" s="136">
        <f>C6-'46支出(教)-OK  '!C15</f>
        <v>0</v>
      </c>
      <c r="D11" s="136">
        <f>D6-'46支出(教)-OK  '!D15</f>
        <v>0</v>
      </c>
      <c r="E11" s="136">
        <f>E6-'46支出(教)-OK  '!E15</f>
        <v>0</v>
      </c>
      <c r="F11" s="136">
        <f>F6-'46支出(教)-OK  '!F15</f>
        <v>0</v>
      </c>
      <c r="G11" s="136">
        <f>G6-'46支出(教)-OK  '!G15</f>
        <v>0</v>
      </c>
      <c r="H11" s="136">
        <f>H6-'46支出(教)-OK  '!H15</f>
        <v>0</v>
      </c>
      <c r="I11" s="136">
        <f>I6-'46支出(教)-OK  '!I15</f>
        <v>0</v>
      </c>
      <c r="J11" s="136">
        <f>J6-'46支出(教)-OK  '!J15</f>
        <v>0</v>
      </c>
      <c r="K11" s="136">
        <f>K6-'46支出(教)-OK  '!K15</f>
        <v>0</v>
      </c>
      <c r="L11" s="136">
        <f>L6-'46支出(教)-OK  '!L15</f>
        <v>0</v>
      </c>
      <c r="M11" s="136">
        <f>M6-'46支出(教)-OK  '!M15</f>
        <v>0</v>
      </c>
      <c r="N11" s="136">
        <f>N6-'46支出(教)-OK  '!N15</f>
        <v>0</v>
      </c>
      <c r="O11" s="136">
        <f>O6-'46支出(教)-OK  '!O15</f>
        <v>0</v>
      </c>
      <c r="P11" s="136">
        <f>P6-'46支出(教)-OK  '!P15</f>
        <v>0</v>
      </c>
      <c r="Q11" s="136">
        <f>Q6-'46支出(教)-OK  '!Q15</f>
        <v>0</v>
      </c>
    </row>
    <row r="27" spans="2:3" ht="36" customHeight="1">
      <c r="B27" s="141"/>
      <c r="C27" s="141"/>
    </row>
  </sheetData>
  <mergeCells count="11">
    <mergeCell ref="A10:K10"/>
    <mergeCell ref="A3:A4"/>
    <mergeCell ref="B3:B4"/>
    <mergeCell ref="C3:K3"/>
    <mergeCell ref="O3:Q3"/>
    <mergeCell ref="L3:N3"/>
    <mergeCell ref="A1:I1"/>
    <mergeCell ref="J1:Q1"/>
    <mergeCell ref="A2:I2"/>
    <mergeCell ref="J2:O2"/>
    <mergeCell ref="P2:Q2"/>
  </mergeCells>
  <phoneticPr fontId="3" type="noConversion"/>
  <pageMargins left="0.43307086614173229" right="0" top="0.59055118110236227" bottom="0.23622047244094491" header="0.19685039370078741" footer="0"/>
  <pageSetup paperSize="9" scale="94" fitToWidth="2" orientation="portrait" r:id="rId1"/>
  <headerFooter alignWithMargins="0"/>
  <legacyDrawing r:id="rId2"/>
</worksheet>
</file>

<file path=xl/worksheets/sheet45.xml><?xml version="1.0" encoding="utf-8"?>
<worksheet xmlns="http://schemas.openxmlformats.org/spreadsheetml/2006/main" xmlns:r="http://schemas.openxmlformats.org/officeDocument/2006/relationships">
  <sheetPr>
    <tabColor rgb="FFFF0000"/>
    <pageSetUpPr autoPageBreaks="0" fitToPage="1"/>
  </sheetPr>
  <dimension ref="A1:R17"/>
  <sheetViews>
    <sheetView view="pageBreakPreview" zoomScale="65" zoomScaleNormal="100" zoomScaleSheetLayoutView="65" workbookViewId="0">
      <pane ySplit="4" topLeftCell="A5" activePane="bottomLeft" state="frozen"/>
      <selection activeCell="E20" sqref="E20"/>
      <selection pane="bottomLeft" activeCell="E20" sqref="E20"/>
    </sheetView>
  </sheetViews>
  <sheetFormatPr defaultColWidth="9" defaultRowHeight="36" customHeight="1"/>
  <cols>
    <col min="1" max="1" width="9.375" style="137" customWidth="1"/>
    <col min="2" max="3" width="11.75" style="137" customWidth="1"/>
    <col min="4" max="4" width="14.375" style="137" customWidth="1"/>
    <col min="5" max="5" width="11.75" style="137" customWidth="1"/>
    <col min="6" max="6" width="10.875" style="137" customWidth="1"/>
    <col min="7" max="7" width="11.625" style="137" bestFit="1" customWidth="1"/>
    <col min="8" max="8" width="14" style="137" customWidth="1"/>
    <col min="9" max="9" width="8.625" style="137" customWidth="1"/>
    <col min="10" max="10" width="15.125" style="137" customWidth="1"/>
    <col min="11" max="11" width="12.75" style="137" customWidth="1"/>
    <col min="12" max="12" width="10.875" style="137" bestFit="1" customWidth="1"/>
    <col min="13" max="13" width="11.875" style="137" bestFit="1" customWidth="1"/>
    <col min="14" max="14" width="16.75" style="137" customWidth="1"/>
    <col min="15" max="15" width="10.875" style="137" bestFit="1" customWidth="1"/>
    <col min="16" max="16" width="11.625" style="137" bestFit="1" customWidth="1"/>
    <col min="17" max="17" width="9.5" style="137" customWidth="1"/>
    <col min="18" max="16384" width="9" style="122"/>
  </cols>
  <sheetData>
    <row r="1" spans="1:18" ht="33" customHeight="1">
      <c r="A1" s="910" t="s">
        <v>446</v>
      </c>
      <c r="B1" s="910"/>
      <c r="C1" s="910"/>
      <c r="D1" s="910"/>
      <c r="E1" s="910"/>
      <c r="F1" s="910"/>
      <c r="G1" s="910"/>
      <c r="H1" s="910"/>
      <c r="I1" s="910"/>
      <c r="J1" s="720" t="s">
        <v>447</v>
      </c>
      <c r="K1" s="720"/>
      <c r="L1" s="720"/>
      <c r="M1" s="720"/>
      <c r="N1" s="720"/>
      <c r="O1" s="720"/>
      <c r="P1" s="720"/>
      <c r="Q1" s="720"/>
    </row>
    <row r="2" spans="1:18" ht="33" customHeight="1">
      <c r="A2" s="898" t="s">
        <v>448</v>
      </c>
      <c r="B2" s="898"/>
      <c r="C2" s="898"/>
      <c r="D2" s="898"/>
      <c r="E2" s="898"/>
      <c r="F2" s="898"/>
      <c r="G2" s="898"/>
      <c r="H2" s="898"/>
      <c r="I2" s="898"/>
      <c r="J2" s="728" t="s">
        <v>395</v>
      </c>
      <c r="K2" s="728"/>
      <c r="L2" s="728"/>
      <c r="M2" s="728"/>
      <c r="N2" s="728"/>
      <c r="O2" s="728"/>
      <c r="P2" s="900" t="s">
        <v>65</v>
      </c>
      <c r="Q2" s="900"/>
    </row>
    <row r="3" spans="1:18" ht="30.2" customHeight="1">
      <c r="A3" s="911" t="s">
        <v>48</v>
      </c>
      <c r="B3" s="913" t="s">
        <v>49</v>
      </c>
      <c r="C3" s="915" t="s">
        <v>80</v>
      </c>
      <c r="D3" s="916"/>
      <c r="E3" s="916"/>
      <c r="F3" s="916"/>
      <c r="G3" s="916"/>
      <c r="H3" s="916"/>
      <c r="I3" s="916"/>
      <c r="J3" s="916"/>
      <c r="K3" s="917"/>
      <c r="L3" s="915" t="s">
        <v>67</v>
      </c>
      <c r="M3" s="916"/>
      <c r="N3" s="916"/>
      <c r="O3" s="918" t="s">
        <v>68</v>
      </c>
      <c r="P3" s="918"/>
      <c r="Q3" s="915"/>
    </row>
    <row r="4" spans="1:18" ht="50.25" customHeight="1">
      <c r="A4" s="912"/>
      <c r="B4" s="914"/>
      <c r="C4" s="721" t="s">
        <v>58</v>
      </c>
      <c r="D4" s="722" t="s">
        <v>173</v>
      </c>
      <c r="E4" s="722" t="s">
        <v>449</v>
      </c>
      <c r="F4" s="722" t="s">
        <v>450</v>
      </c>
      <c r="G4" s="722" t="s">
        <v>451</v>
      </c>
      <c r="H4" s="723" t="s">
        <v>452</v>
      </c>
      <c r="I4" s="723" t="s">
        <v>101</v>
      </c>
      <c r="J4" s="729" t="s">
        <v>983</v>
      </c>
      <c r="K4" s="722" t="s">
        <v>995</v>
      </c>
      <c r="L4" s="721" t="s">
        <v>58</v>
      </c>
      <c r="M4" s="721" t="s">
        <v>10</v>
      </c>
      <c r="N4" s="685" t="s">
        <v>239</v>
      </c>
      <c r="O4" s="721" t="s">
        <v>58</v>
      </c>
      <c r="P4" s="722" t="s">
        <v>77</v>
      </c>
      <c r="Q4" s="723" t="s">
        <v>78</v>
      </c>
      <c r="R4" s="724" t="s">
        <v>423</v>
      </c>
    </row>
    <row r="5" spans="1:18" ht="60.6" hidden="1" customHeight="1">
      <c r="A5" s="725" t="s">
        <v>2</v>
      </c>
      <c r="B5" s="726">
        <v>30669240</v>
      </c>
      <c r="C5" s="726">
        <v>29489014</v>
      </c>
      <c r="D5" s="726">
        <v>1507628</v>
      </c>
      <c r="E5" s="726">
        <v>25933272</v>
      </c>
      <c r="F5" s="726">
        <v>516323</v>
      </c>
      <c r="G5" s="726">
        <v>5692</v>
      </c>
      <c r="H5" s="726">
        <v>1169795</v>
      </c>
      <c r="I5" s="726">
        <v>92023</v>
      </c>
      <c r="J5" s="726">
        <v>78415</v>
      </c>
      <c r="K5" s="726">
        <v>185866</v>
      </c>
      <c r="L5" s="726">
        <v>931870</v>
      </c>
      <c r="M5" s="726">
        <v>393791</v>
      </c>
      <c r="N5" s="726">
        <v>538079</v>
      </c>
      <c r="O5" s="726">
        <v>248356</v>
      </c>
      <c r="P5" s="726">
        <v>207285</v>
      </c>
      <c r="Q5" s="726">
        <v>41071</v>
      </c>
      <c r="R5" s="730"/>
    </row>
    <row r="6" spans="1:18" ht="60.6" customHeight="1">
      <c r="A6" s="725" t="s">
        <v>3</v>
      </c>
      <c r="B6" s="726">
        <v>35544169</v>
      </c>
      <c r="C6" s="726">
        <v>34253587</v>
      </c>
      <c r="D6" s="726">
        <v>1956699</v>
      </c>
      <c r="E6" s="726">
        <v>30053027</v>
      </c>
      <c r="F6" s="726">
        <v>657752</v>
      </c>
      <c r="G6" s="726">
        <v>5288</v>
      </c>
      <c r="H6" s="726">
        <v>1172588</v>
      </c>
      <c r="I6" s="726">
        <v>101157</v>
      </c>
      <c r="J6" s="726">
        <v>68858</v>
      </c>
      <c r="K6" s="726">
        <v>238218</v>
      </c>
      <c r="L6" s="726">
        <v>990856</v>
      </c>
      <c r="M6" s="726">
        <v>389507</v>
      </c>
      <c r="N6" s="726">
        <v>601349</v>
      </c>
      <c r="O6" s="726">
        <v>299726</v>
      </c>
      <c r="P6" s="726">
        <v>264698</v>
      </c>
      <c r="Q6" s="726">
        <v>35028</v>
      </c>
      <c r="R6" s="731">
        <f>SUM(B6:Q14)-SUM('[2]43支出(總)-0'!$B$6:$Q$14)</f>
        <v>0</v>
      </c>
    </row>
    <row r="7" spans="1:18" ht="60.6" customHeight="1">
      <c r="A7" s="725" t="s">
        <v>4</v>
      </c>
      <c r="B7" s="95">
        <v>42601731</v>
      </c>
      <c r="C7" s="726">
        <v>41104541</v>
      </c>
      <c r="D7" s="726">
        <v>3037044</v>
      </c>
      <c r="E7" s="726">
        <v>35791321</v>
      </c>
      <c r="F7" s="726">
        <v>640301</v>
      </c>
      <c r="G7" s="726">
        <v>6683</v>
      </c>
      <c r="H7" s="726">
        <v>1145309</v>
      </c>
      <c r="I7" s="726">
        <v>88680</v>
      </c>
      <c r="J7" s="726">
        <v>86893</v>
      </c>
      <c r="K7" s="726">
        <v>308310</v>
      </c>
      <c r="L7" s="726">
        <v>1101273</v>
      </c>
      <c r="M7" s="726">
        <v>424006</v>
      </c>
      <c r="N7" s="726">
        <v>677267</v>
      </c>
      <c r="O7" s="726">
        <v>395917</v>
      </c>
      <c r="P7" s="726">
        <v>355496</v>
      </c>
      <c r="Q7" s="726">
        <v>40421</v>
      </c>
      <c r="R7" s="730"/>
    </row>
    <row r="8" spans="1:18" ht="60.6" customHeight="1">
      <c r="A8" s="725" t="s">
        <v>5</v>
      </c>
      <c r="B8" s="726">
        <v>50147619</v>
      </c>
      <c r="C8" s="726">
        <v>48525037</v>
      </c>
      <c r="D8" s="726">
        <v>3565927</v>
      </c>
      <c r="E8" s="726">
        <v>42454756</v>
      </c>
      <c r="F8" s="726">
        <v>702376</v>
      </c>
      <c r="G8" s="726">
        <v>7383</v>
      </c>
      <c r="H8" s="726">
        <v>1191439</v>
      </c>
      <c r="I8" s="726">
        <v>83811</v>
      </c>
      <c r="J8" s="726">
        <v>145136</v>
      </c>
      <c r="K8" s="726">
        <v>374209</v>
      </c>
      <c r="L8" s="726">
        <v>1176189</v>
      </c>
      <c r="M8" s="726">
        <v>425000</v>
      </c>
      <c r="N8" s="726">
        <v>751189</v>
      </c>
      <c r="O8" s="726">
        <v>446393</v>
      </c>
      <c r="P8" s="726">
        <v>397370</v>
      </c>
      <c r="Q8" s="726">
        <v>49023</v>
      </c>
      <c r="R8" s="730"/>
    </row>
    <row r="9" spans="1:18" ht="60.6" customHeight="1">
      <c r="A9" s="725" t="s">
        <v>6</v>
      </c>
      <c r="B9" s="95">
        <v>57728247</v>
      </c>
      <c r="C9" s="726">
        <v>56007307</v>
      </c>
      <c r="D9" s="726">
        <v>4546882</v>
      </c>
      <c r="E9" s="726">
        <v>48797875</v>
      </c>
      <c r="F9" s="726">
        <v>794432</v>
      </c>
      <c r="G9" s="726">
        <v>7727</v>
      </c>
      <c r="H9" s="726">
        <v>1189360</v>
      </c>
      <c r="I9" s="726">
        <v>93491</v>
      </c>
      <c r="J9" s="726">
        <v>128328</v>
      </c>
      <c r="K9" s="726">
        <v>449212</v>
      </c>
      <c r="L9" s="726">
        <v>1268661</v>
      </c>
      <c r="M9" s="726">
        <v>460756</v>
      </c>
      <c r="N9" s="726">
        <v>807905</v>
      </c>
      <c r="O9" s="726">
        <v>452279</v>
      </c>
      <c r="P9" s="726">
        <v>399565</v>
      </c>
      <c r="Q9" s="726">
        <v>52714</v>
      </c>
      <c r="R9" s="730"/>
    </row>
    <row r="10" spans="1:18" ht="60.6" customHeight="1">
      <c r="A10" s="725" t="s">
        <v>1035</v>
      </c>
      <c r="B10" s="95">
        <v>63022530</v>
      </c>
      <c r="C10" s="726">
        <v>61166358</v>
      </c>
      <c r="D10" s="726">
        <v>3780607</v>
      </c>
      <c r="E10" s="726">
        <v>54847245</v>
      </c>
      <c r="F10" s="726">
        <v>604579</v>
      </c>
      <c r="G10" s="726">
        <v>8418</v>
      </c>
      <c r="H10" s="726">
        <v>1186154</v>
      </c>
      <c r="I10" s="726">
        <v>64289</v>
      </c>
      <c r="J10" s="726">
        <v>138207</v>
      </c>
      <c r="K10" s="726">
        <v>536859</v>
      </c>
      <c r="L10" s="726">
        <v>1343087</v>
      </c>
      <c r="M10" s="726">
        <v>473720</v>
      </c>
      <c r="N10" s="726">
        <v>869367</v>
      </c>
      <c r="O10" s="726">
        <v>513085</v>
      </c>
      <c r="P10" s="726">
        <v>430643</v>
      </c>
      <c r="Q10" s="726">
        <v>82442</v>
      </c>
      <c r="R10" s="730"/>
    </row>
    <row r="11" spans="1:18" ht="60.6" customHeight="1">
      <c r="A11" s="725" t="s">
        <v>1036</v>
      </c>
      <c r="B11" s="95">
        <v>70034840</v>
      </c>
      <c r="C11" s="726">
        <v>68015872</v>
      </c>
      <c r="D11" s="726">
        <v>3473784</v>
      </c>
      <c r="E11" s="726">
        <v>61694702</v>
      </c>
      <c r="F11" s="726">
        <v>749855</v>
      </c>
      <c r="G11" s="726">
        <v>8417</v>
      </c>
      <c r="H11" s="726">
        <v>1209867</v>
      </c>
      <c r="I11" s="726">
        <v>88806</v>
      </c>
      <c r="J11" s="726">
        <v>147390</v>
      </c>
      <c r="K11" s="726">
        <v>643051</v>
      </c>
      <c r="L11" s="726">
        <v>1413372</v>
      </c>
      <c r="M11" s="726">
        <v>481929</v>
      </c>
      <c r="N11" s="726">
        <v>931443</v>
      </c>
      <c r="O11" s="726">
        <v>605596</v>
      </c>
      <c r="P11" s="726">
        <v>518875</v>
      </c>
      <c r="Q11" s="726">
        <v>86721</v>
      </c>
      <c r="R11" s="730"/>
    </row>
    <row r="12" spans="1:18" ht="60.6" customHeight="1">
      <c r="A12" s="725" t="s">
        <v>99</v>
      </c>
      <c r="B12" s="95">
        <v>78583980</v>
      </c>
      <c r="C12" s="726">
        <v>76304780</v>
      </c>
      <c r="D12" s="726">
        <v>3683455</v>
      </c>
      <c r="E12" s="726">
        <v>69677857</v>
      </c>
      <c r="F12" s="726">
        <v>686909</v>
      </c>
      <c r="G12" s="726">
        <v>9121</v>
      </c>
      <c r="H12" s="726">
        <v>1195863</v>
      </c>
      <c r="I12" s="726">
        <v>84318</v>
      </c>
      <c r="J12" s="726">
        <v>200083</v>
      </c>
      <c r="K12" s="726">
        <v>767172</v>
      </c>
      <c r="L12" s="726">
        <v>1630571</v>
      </c>
      <c r="M12" s="726">
        <v>590049</v>
      </c>
      <c r="N12" s="726">
        <v>1040522</v>
      </c>
      <c r="O12" s="726">
        <v>648630</v>
      </c>
      <c r="P12" s="726">
        <v>524155</v>
      </c>
      <c r="Q12" s="726">
        <v>124473</v>
      </c>
      <c r="R12" s="730"/>
    </row>
    <row r="13" spans="1:18" ht="60.6" customHeight="1">
      <c r="A13" s="725" t="s">
        <v>1037</v>
      </c>
      <c r="B13" s="95">
        <v>86614879</v>
      </c>
      <c r="C13" s="726">
        <v>84207849</v>
      </c>
      <c r="D13" s="726">
        <v>4662141</v>
      </c>
      <c r="E13" s="726">
        <v>76623852</v>
      </c>
      <c r="F13" s="726">
        <v>425449</v>
      </c>
      <c r="G13" s="726">
        <v>10109</v>
      </c>
      <c r="H13" s="726">
        <v>1208354</v>
      </c>
      <c r="I13" s="726">
        <v>112147</v>
      </c>
      <c r="J13" s="726">
        <v>259775</v>
      </c>
      <c r="K13" s="726">
        <v>906021</v>
      </c>
      <c r="L13" s="726">
        <v>1557588</v>
      </c>
      <c r="M13" s="726">
        <v>501167</v>
      </c>
      <c r="N13" s="726">
        <v>1056421</v>
      </c>
      <c r="O13" s="726">
        <v>849441</v>
      </c>
      <c r="P13" s="726">
        <v>691658</v>
      </c>
      <c r="Q13" s="726">
        <v>157783</v>
      </c>
      <c r="R13" s="730"/>
    </row>
    <row r="14" spans="1:18" ht="60.6" customHeight="1">
      <c r="A14" s="725" t="s">
        <v>1038</v>
      </c>
      <c r="B14" s="95">
        <v>90463497</v>
      </c>
      <c r="C14" s="726">
        <v>87652404</v>
      </c>
      <c r="D14" s="726">
        <v>3168797</v>
      </c>
      <c r="E14" s="726">
        <v>81667626</v>
      </c>
      <c r="F14" s="726">
        <v>212279</v>
      </c>
      <c r="G14" s="726">
        <v>10110</v>
      </c>
      <c r="H14" s="726">
        <v>1187942</v>
      </c>
      <c r="I14" s="726">
        <v>61651</v>
      </c>
      <c r="J14" s="726">
        <v>221117</v>
      </c>
      <c r="K14" s="726">
        <v>1122881</v>
      </c>
      <c r="L14" s="726">
        <v>1571262</v>
      </c>
      <c r="M14" s="726">
        <v>448465</v>
      </c>
      <c r="N14" s="726">
        <v>1122797</v>
      </c>
      <c r="O14" s="726">
        <v>1239832</v>
      </c>
      <c r="P14" s="726">
        <v>1050566</v>
      </c>
      <c r="Q14" s="726">
        <v>189266</v>
      </c>
      <c r="R14" s="730"/>
    </row>
    <row r="15" spans="1:18" ht="60.6" customHeight="1">
      <c r="A15" s="727" t="s">
        <v>1039</v>
      </c>
      <c r="B15" s="85">
        <v>90275164</v>
      </c>
      <c r="C15" s="85">
        <v>88012902</v>
      </c>
      <c r="D15" s="85">
        <v>1241852</v>
      </c>
      <c r="E15" s="85">
        <v>83749384</v>
      </c>
      <c r="F15" s="85">
        <v>132520</v>
      </c>
      <c r="G15" s="85">
        <v>10667</v>
      </c>
      <c r="H15" s="85">
        <v>1187621</v>
      </c>
      <c r="I15" s="85">
        <v>48186</v>
      </c>
      <c r="J15" s="85">
        <v>336891</v>
      </c>
      <c r="K15" s="85">
        <v>1305782</v>
      </c>
      <c r="L15" s="85">
        <v>1832659</v>
      </c>
      <c r="M15" s="85">
        <v>627113</v>
      </c>
      <c r="N15" s="85">
        <v>1205546</v>
      </c>
      <c r="O15" s="85">
        <v>429603</v>
      </c>
      <c r="P15" s="85">
        <v>336868</v>
      </c>
      <c r="Q15" s="85">
        <v>92735</v>
      </c>
      <c r="R15" s="730"/>
    </row>
    <row r="16" spans="1:18" ht="27.75" customHeight="1">
      <c r="A16" s="909" t="s">
        <v>1040</v>
      </c>
      <c r="B16" s="909"/>
      <c r="C16" s="909"/>
      <c r="D16" s="909"/>
      <c r="E16" s="909"/>
      <c r="F16" s="909"/>
      <c r="G16" s="909"/>
      <c r="H16" s="909"/>
      <c r="I16" s="909"/>
      <c r="J16" s="909"/>
      <c r="K16" s="909"/>
      <c r="L16" s="132"/>
      <c r="M16" s="132"/>
      <c r="N16" s="132"/>
      <c r="O16" s="132"/>
      <c r="P16" s="132"/>
      <c r="Q16" s="132"/>
      <c r="R16" s="133"/>
    </row>
    <row r="17" spans="1:2" ht="36" customHeight="1">
      <c r="A17" s="724" t="s">
        <v>1041</v>
      </c>
      <c r="B17" s="136">
        <f>SUM(B5:Q13)-SUM('[1]43支出(總) '!$B$6:$Q$14)</f>
        <v>0</v>
      </c>
    </row>
  </sheetData>
  <mergeCells count="9">
    <mergeCell ref="A16:K16"/>
    <mergeCell ref="A1:I1"/>
    <mergeCell ref="A2:I2"/>
    <mergeCell ref="P2:Q2"/>
    <mergeCell ref="A3:A4"/>
    <mergeCell ref="B3:B4"/>
    <mergeCell ref="C3:K3"/>
    <mergeCell ref="L3:N3"/>
    <mergeCell ref="O3:Q3"/>
  </mergeCells>
  <phoneticPr fontId="3" type="noConversion"/>
  <printOptions horizontalCentered="1"/>
  <pageMargins left="0.35433070866141736" right="0.27559055118110237" top="0.59055118110236227" bottom="0.47244094488188981" header="0" footer="0"/>
  <pageSetup paperSize="9" scale="93" fitToWidth="2" orientation="portrait" r:id="rId1"/>
  <headerFooter alignWithMargins="0"/>
  <legacyDrawing r:id="rId2"/>
</worksheet>
</file>

<file path=xl/worksheets/sheet46.xml><?xml version="1.0" encoding="utf-8"?>
<worksheet xmlns="http://schemas.openxmlformats.org/spreadsheetml/2006/main" xmlns:r="http://schemas.openxmlformats.org/officeDocument/2006/relationships">
  <sheetPr>
    <tabColor rgb="FFFF0000"/>
  </sheetPr>
  <dimension ref="A1:R28"/>
  <sheetViews>
    <sheetView view="pageBreakPreview" zoomScale="65" zoomScaleNormal="100" zoomScaleSheetLayoutView="65" workbookViewId="0">
      <pane xSplit="1" ySplit="5" topLeftCell="B6" activePane="bottomRight" state="frozen"/>
      <selection activeCell="E20" sqref="E20"/>
      <selection pane="topRight" activeCell="E20" sqref="E20"/>
      <selection pane="bottomLeft" activeCell="E20" sqref="E20"/>
      <selection pane="bottomRight" activeCell="E20" sqref="E20"/>
    </sheetView>
  </sheetViews>
  <sheetFormatPr defaultColWidth="9" defaultRowHeight="36" customHeight="1"/>
  <cols>
    <col min="1" max="1" width="8.5" style="137" customWidth="1"/>
    <col min="2" max="3" width="11.875" style="137" customWidth="1"/>
    <col min="4" max="4" width="15.375" style="137" customWidth="1"/>
    <col min="5" max="5" width="16.625" style="137" customWidth="1"/>
    <col min="6" max="6" width="14.25" style="137" customWidth="1"/>
    <col min="7" max="7" width="11.625" style="137" customWidth="1"/>
    <col min="8" max="8" width="15.5" style="137" customWidth="1"/>
    <col min="9" max="9" width="8.625" style="137" customWidth="1"/>
    <col min="10" max="10" width="18" style="137" customWidth="1"/>
    <col min="11" max="11" width="15.5" style="137" customWidth="1"/>
    <col min="12" max="12" width="9.625" style="137" customWidth="1"/>
    <col min="13" max="13" width="11.125" style="137" customWidth="1"/>
    <col min="14" max="14" width="18" style="137" customWidth="1"/>
    <col min="15" max="15" width="9.625" style="137" customWidth="1"/>
    <col min="16" max="16" width="13.125" style="137" customWidth="1"/>
    <col min="17" max="17" width="11.875" style="137" customWidth="1"/>
    <col min="18" max="16384" width="9" style="122"/>
  </cols>
  <sheetData>
    <row r="1" spans="1:18" ht="33" customHeight="1">
      <c r="A1" s="897" t="s">
        <v>453</v>
      </c>
      <c r="B1" s="897"/>
      <c r="C1" s="897"/>
      <c r="D1" s="897"/>
      <c r="E1" s="897"/>
      <c r="F1" s="897"/>
      <c r="G1" s="897"/>
      <c r="H1" s="897"/>
      <c r="I1" s="897"/>
      <c r="J1" s="893" t="s">
        <v>454</v>
      </c>
      <c r="K1" s="893"/>
      <c r="L1" s="893"/>
      <c r="M1" s="893"/>
      <c r="N1" s="893"/>
      <c r="O1" s="893"/>
      <c r="P1" s="893"/>
      <c r="Q1" s="893"/>
    </row>
    <row r="2" spans="1:18" ht="27.75" customHeight="1">
      <c r="A2" s="898" t="s">
        <v>455</v>
      </c>
      <c r="B2" s="898"/>
      <c r="C2" s="898"/>
      <c r="D2" s="898"/>
      <c r="E2" s="898"/>
      <c r="F2" s="898"/>
      <c r="G2" s="898"/>
      <c r="H2" s="898"/>
      <c r="I2" s="898"/>
      <c r="J2" s="899" t="s">
        <v>456</v>
      </c>
      <c r="K2" s="899"/>
      <c r="L2" s="899"/>
      <c r="M2" s="899"/>
      <c r="N2" s="899"/>
      <c r="O2" s="899"/>
      <c r="P2" s="900" t="s">
        <v>457</v>
      </c>
      <c r="Q2" s="900"/>
    </row>
    <row r="3" spans="1:18" ht="30.2" customHeight="1">
      <c r="A3" s="920" t="s">
        <v>48</v>
      </c>
      <c r="B3" s="922" t="s">
        <v>49</v>
      </c>
      <c r="C3" s="924" t="s">
        <v>82</v>
      </c>
      <c r="D3" s="925"/>
      <c r="E3" s="925"/>
      <c r="F3" s="925"/>
      <c r="G3" s="925"/>
      <c r="H3" s="925"/>
      <c r="I3" s="925"/>
      <c r="J3" s="925"/>
      <c r="K3" s="926"/>
      <c r="L3" s="923" t="s">
        <v>67</v>
      </c>
      <c r="M3" s="927"/>
      <c r="N3" s="927"/>
      <c r="O3" s="928" t="s">
        <v>68</v>
      </c>
      <c r="P3" s="928"/>
      <c r="Q3" s="924"/>
    </row>
    <row r="4" spans="1:18" s="732" customFormat="1" ht="45.6" customHeight="1">
      <c r="A4" s="921"/>
      <c r="B4" s="923"/>
      <c r="C4" s="709" t="s">
        <v>58</v>
      </c>
      <c r="D4" s="709" t="s">
        <v>69</v>
      </c>
      <c r="E4" s="709" t="s">
        <v>70</v>
      </c>
      <c r="F4" s="684" t="s">
        <v>97</v>
      </c>
      <c r="G4" s="684" t="s">
        <v>458</v>
      </c>
      <c r="H4" s="711" t="s">
        <v>95</v>
      </c>
      <c r="I4" s="710" t="s">
        <v>71</v>
      </c>
      <c r="J4" s="714" t="s">
        <v>983</v>
      </c>
      <c r="K4" s="714" t="s">
        <v>984</v>
      </c>
      <c r="L4" s="709" t="s">
        <v>58</v>
      </c>
      <c r="M4" s="709" t="s">
        <v>83</v>
      </c>
      <c r="N4" s="684" t="s">
        <v>190</v>
      </c>
      <c r="O4" s="709" t="s">
        <v>58</v>
      </c>
      <c r="P4" s="684" t="s">
        <v>77</v>
      </c>
      <c r="Q4" s="711" t="s">
        <v>78</v>
      </c>
      <c r="R4" s="724" t="s">
        <v>423</v>
      </c>
    </row>
    <row r="5" spans="1:18" ht="64.150000000000006" hidden="1" customHeight="1">
      <c r="A5" s="715" t="s">
        <v>2</v>
      </c>
      <c r="B5" s="733">
        <f t="shared" ref="B5:B8" si="0">C5+L5+O5</f>
        <v>45177</v>
      </c>
      <c r="C5" s="733">
        <f>D5+E5+F5+G5+H5+I5+J5+K5</f>
        <v>42880</v>
      </c>
      <c r="D5" s="733">
        <v>2329</v>
      </c>
      <c r="E5" s="733">
        <v>36169</v>
      </c>
      <c r="F5" s="733">
        <v>0</v>
      </c>
      <c r="G5" s="733">
        <v>0</v>
      </c>
      <c r="H5" s="733">
        <v>4188</v>
      </c>
      <c r="I5" s="733">
        <v>0</v>
      </c>
      <c r="J5" s="733">
        <v>0</v>
      </c>
      <c r="K5" s="733">
        <v>194</v>
      </c>
      <c r="L5" s="733">
        <f>M5+N5</f>
        <v>2227</v>
      </c>
      <c r="M5" s="733">
        <v>1387</v>
      </c>
      <c r="N5" s="733">
        <v>840</v>
      </c>
      <c r="O5" s="733">
        <f>P5+Q5</f>
        <v>70</v>
      </c>
      <c r="P5" s="733">
        <v>70</v>
      </c>
      <c r="Q5" s="733">
        <v>0</v>
      </c>
    </row>
    <row r="6" spans="1:18" ht="64.150000000000006" customHeight="1">
      <c r="A6" s="715" t="s">
        <v>3</v>
      </c>
      <c r="B6" s="733">
        <f t="shared" si="0"/>
        <v>44668</v>
      </c>
      <c r="C6" s="733">
        <f>D6+E6+F6+G6+H6+I6+J6+K6</f>
        <v>43616</v>
      </c>
      <c r="D6" s="733">
        <v>1184</v>
      </c>
      <c r="E6" s="733">
        <v>36515</v>
      </c>
      <c r="F6" s="733">
        <v>0</v>
      </c>
      <c r="G6" s="733">
        <v>0</v>
      </c>
      <c r="H6" s="733">
        <v>5400</v>
      </c>
      <c r="I6" s="733">
        <v>0</v>
      </c>
      <c r="J6" s="734">
        <v>-78</v>
      </c>
      <c r="K6" s="733">
        <v>595</v>
      </c>
      <c r="L6" s="733">
        <f>M6+N6</f>
        <v>839</v>
      </c>
      <c r="M6" s="733">
        <v>0</v>
      </c>
      <c r="N6" s="733">
        <v>839</v>
      </c>
      <c r="O6" s="733">
        <f>P6+Q6</f>
        <v>213</v>
      </c>
      <c r="P6" s="733">
        <v>213</v>
      </c>
      <c r="Q6" s="733">
        <v>0</v>
      </c>
      <c r="R6" s="738">
        <f>SUM(B6:Q14)-SUM('[2]44支出(政)-0'!$B$6:$Q$14)</f>
        <v>0</v>
      </c>
    </row>
    <row r="7" spans="1:18" ht="64.150000000000006" customHeight="1">
      <c r="A7" s="715" t="s">
        <v>4</v>
      </c>
      <c r="B7" s="735">
        <f t="shared" si="0"/>
        <v>47197</v>
      </c>
      <c r="C7" s="733">
        <f>SUM(D7:K7)</f>
        <v>46229</v>
      </c>
      <c r="D7" s="733">
        <v>772</v>
      </c>
      <c r="E7" s="733">
        <v>37491</v>
      </c>
      <c r="F7" s="733">
        <v>572</v>
      </c>
      <c r="G7" s="733">
        <v>0</v>
      </c>
      <c r="H7" s="733">
        <v>6814</v>
      </c>
      <c r="I7" s="733">
        <v>0</v>
      </c>
      <c r="J7" s="733">
        <v>0</v>
      </c>
      <c r="K7" s="733">
        <v>580</v>
      </c>
      <c r="L7" s="733">
        <f>SUM(M7:N7)</f>
        <v>852</v>
      </c>
      <c r="M7" s="733">
        <v>0</v>
      </c>
      <c r="N7" s="733">
        <v>852</v>
      </c>
      <c r="O7" s="733">
        <f>SUM(P7:Q7)</f>
        <v>116</v>
      </c>
      <c r="P7" s="733">
        <v>115</v>
      </c>
      <c r="Q7" s="733">
        <v>1</v>
      </c>
    </row>
    <row r="8" spans="1:18" ht="64.150000000000006" customHeight="1">
      <c r="A8" s="715" t="s">
        <v>5</v>
      </c>
      <c r="B8" s="735">
        <f t="shared" si="0"/>
        <v>45484</v>
      </c>
      <c r="C8" s="733">
        <f>SUM(D8:K8)</f>
        <v>44507</v>
      </c>
      <c r="D8" s="733">
        <v>235</v>
      </c>
      <c r="E8" s="733">
        <f>37383+1</f>
        <v>37384</v>
      </c>
      <c r="F8" s="733">
        <v>0</v>
      </c>
      <c r="G8" s="733">
        <v>0</v>
      </c>
      <c r="H8" s="733">
        <v>6048</v>
      </c>
      <c r="I8" s="733">
        <v>0</v>
      </c>
      <c r="J8" s="733">
        <v>114</v>
      </c>
      <c r="K8" s="733">
        <v>726</v>
      </c>
      <c r="L8" s="733">
        <f>SUM(M8:N8)</f>
        <v>838</v>
      </c>
      <c r="M8" s="733">
        <v>0</v>
      </c>
      <c r="N8" s="733">
        <v>838</v>
      </c>
      <c r="O8" s="733">
        <f>SUM(P8:Q8)</f>
        <v>139</v>
      </c>
      <c r="P8" s="733">
        <v>139</v>
      </c>
      <c r="Q8" s="733">
        <v>0</v>
      </c>
    </row>
    <row r="9" spans="1:18" ht="64.150000000000006" customHeight="1">
      <c r="A9" s="715" t="s">
        <v>6</v>
      </c>
      <c r="B9" s="735">
        <v>46303</v>
      </c>
      <c r="C9" s="733">
        <v>45581</v>
      </c>
      <c r="D9" s="733">
        <v>1338</v>
      </c>
      <c r="E9" s="733">
        <v>38611</v>
      </c>
      <c r="F9" s="733">
        <v>0</v>
      </c>
      <c r="G9" s="733">
        <v>0</v>
      </c>
      <c r="H9" s="733">
        <v>4826</v>
      </c>
      <c r="I9" s="733">
        <v>0</v>
      </c>
      <c r="J9" s="733">
        <v>0</v>
      </c>
      <c r="K9" s="733">
        <v>806</v>
      </c>
      <c r="L9" s="733">
        <v>722</v>
      </c>
      <c r="M9" s="733">
        <v>0</v>
      </c>
      <c r="N9" s="733">
        <v>722</v>
      </c>
      <c r="O9" s="733">
        <v>0</v>
      </c>
      <c r="P9" s="733">
        <v>0</v>
      </c>
      <c r="Q9" s="733">
        <v>0</v>
      </c>
    </row>
    <row r="10" spans="1:18" ht="64.150000000000006" customHeight="1">
      <c r="A10" s="715" t="s">
        <v>1035</v>
      </c>
      <c r="B10" s="735">
        <f>C10+L10+O10</f>
        <v>47547</v>
      </c>
      <c r="C10" s="733">
        <f>SUM(D10:K10)</f>
        <v>46699</v>
      </c>
      <c r="D10" s="733">
        <v>0</v>
      </c>
      <c r="E10" s="733">
        <v>40493</v>
      </c>
      <c r="F10" s="733">
        <v>572</v>
      </c>
      <c r="G10" s="733">
        <v>0</v>
      </c>
      <c r="H10" s="733">
        <v>4820</v>
      </c>
      <c r="I10" s="733">
        <v>0</v>
      </c>
      <c r="J10" s="733">
        <v>0</v>
      </c>
      <c r="K10" s="733">
        <v>814</v>
      </c>
      <c r="L10" s="733">
        <f>SUM(M10:N10)</f>
        <v>704</v>
      </c>
      <c r="M10" s="733">
        <v>0</v>
      </c>
      <c r="N10" s="733">
        <v>704</v>
      </c>
      <c r="O10" s="733">
        <f>SUM(P10:Q10)</f>
        <v>144</v>
      </c>
      <c r="P10" s="733">
        <v>144</v>
      </c>
      <c r="Q10" s="733">
        <v>0</v>
      </c>
    </row>
    <row r="11" spans="1:18" ht="64.150000000000006" customHeight="1">
      <c r="A11" s="715" t="s">
        <v>1036</v>
      </c>
      <c r="B11" s="735">
        <f>C11+L11+O11</f>
        <v>48989</v>
      </c>
      <c r="C11" s="733">
        <f>SUM(D11:K11)</f>
        <v>48286</v>
      </c>
      <c r="D11" s="733">
        <v>0</v>
      </c>
      <c r="E11" s="733">
        <v>42350</v>
      </c>
      <c r="F11" s="733">
        <v>0</v>
      </c>
      <c r="G11" s="733">
        <v>0</v>
      </c>
      <c r="H11" s="733">
        <v>4786</v>
      </c>
      <c r="I11" s="733">
        <v>0</v>
      </c>
      <c r="J11" s="733">
        <v>0</v>
      </c>
      <c r="K11" s="733">
        <v>1150</v>
      </c>
      <c r="L11" s="733">
        <f>SUM(M11:N11)</f>
        <v>703</v>
      </c>
      <c r="M11" s="733">
        <v>0</v>
      </c>
      <c r="N11" s="733">
        <v>703</v>
      </c>
      <c r="O11" s="733">
        <f>SUM(P11:Q11)</f>
        <v>0</v>
      </c>
      <c r="P11" s="733">
        <v>0</v>
      </c>
      <c r="Q11" s="733">
        <v>0</v>
      </c>
    </row>
    <row r="12" spans="1:18" ht="64.150000000000006" customHeight="1">
      <c r="A12" s="715" t="s">
        <v>99</v>
      </c>
      <c r="B12" s="735">
        <f>C12+L12+O12</f>
        <v>48138</v>
      </c>
      <c r="C12" s="733">
        <f>SUM(D12:K12)</f>
        <v>47709</v>
      </c>
      <c r="D12" s="733">
        <v>0</v>
      </c>
      <c r="E12" s="733">
        <v>41552</v>
      </c>
      <c r="F12" s="733">
        <v>0</v>
      </c>
      <c r="G12" s="733">
        <v>0</v>
      </c>
      <c r="H12" s="733">
        <v>4717</v>
      </c>
      <c r="I12" s="733">
        <v>0</v>
      </c>
      <c r="J12" s="733">
        <v>36</v>
      </c>
      <c r="K12" s="733">
        <v>1404</v>
      </c>
      <c r="L12" s="733">
        <f>SUM(M12:N12)</f>
        <v>429</v>
      </c>
      <c r="M12" s="733">
        <v>0</v>
      </c>
      <c r="N12" s="733">
        <v>429</v>
      </c>
      <c r="O12" s="733">
        <f>SUM(P12:Q12)</f>
        <v>0</v>
      </c>
      <c r="P12" s="733">
        <v>0</v>
      </c>
      <c r="Q12" s="733">
        <v>0</v>
      </c>
    </row>
    <row r="13" spans="1:18" ht="64.150000000000006" customHeight="1">
      <c r="A13" s="715" t="s">
        <v>1037</v>
      </c>
      <c r="B13" s="735">
        <f>C13+L13+O13</f>
        <v>47223</v>
      </c>
      <c r="C13" s="733">
        <f>SUM(D13:K13)+1</f>
        <v>46794</v>
      </c>
      <c r="D13" s="733">
        <v>0</v>
      </c>
      <c r="E13" s="733">
        <v>40472</v>
      </c>
      <c r="F13" s="733">
        <v>0</v>
      </c>
      <c r="G13" s="733">
        <v>0</v>
      </c>
      <c r="H13" s="733">
        <v>4648</v>
      </c>
      <c r="I13" s="733">
        <v>0</v>
      </c>
      <c r="J13" s="733">
        <v>81</v>
      </c>
      <c r="K13" s="733">
        <v>1592</v>
      </c>
      <c r="L13" s="733">
        <f>SUM(M13:N13)</f>
        <v>429</v>
      </c>
      <c r="M13" s="733">
        <v>0</v>
      </c>
      <c r="N13" s="733">
        <v>429</v>
      </c>
      <c r="O13" s="733">
        <f>SUM(P13:Q13)</f>
        <v>0</v>
      </c>
      <c r="P13" s="733">
        <v>0</v>
      </c>
      <c r="Q13" s="733">
        <v>0</v>
      </c>
    </row>
    <row r="14" spans="1:18" ht="64.150000000000006" customHeight="1">
      <c r="A14" s="715" t="s">
        <v>1038</v>
      </c>
      <c r="B14" s="735">
        <v>48714</v>
      </c>
      <c r="C14" s="733">
        <v>48438</v>
      </c>
      <c r="D14" s="733">
        <v>1472</v>
      </c>
      <c r="E14" s="733">
        <v>39345</v>
      </c>
      <c r="F14" s="733">
        <v>1133</v>
      </c>
      <c r="G14" s="733">
        <v>0</v>
      </c>
      <c r="H14" s="733">
        <v>4488</v>
      </c>
      <c r="I14" s="733">
        <v>0</v>
      </c>
      <c r="J14" s="733">
        <v>0</v>
      </c>
      <c r="K14" s="733">
        <v>2000</v>
      </c>
      <c r="L14" s="733">
        <v>147</v>
      </c>
      <c r="M14" s="733">
        <v>0</v>
      </c>
      <c r="N14" s="733">
        <v>147</v>
      </c>
      <c r="O14" s="733">
        <v>128</v>
      </c>
      <c r="P14" s="733">
        <v>0</v>
      </c>
      <c r="Q14" s="733">
        <v>128</v>
      </c>
    </row>
    <row r="15" spans="1:18" ht="64.150000000000006" customHeight="1">
      <c r="A15" s="739" t="s">
        <v>1039</v>
      </c>
      <c r="B15" s="736">
        <v>45657</v>
      </c>
      <c r="C15" s="737">
        <v>45657</v>
      </c>
      <c r="D15" s="737">
        <f>'[3]40支出(政)(政府別)-性別'!D5</f>
        <v>0</v>
      </c>
      <c r="E15" s="737">
        <v>38833</v>
      </c>
      <c r="F15" s="737">
        <f>'[3]40支出(政)(政府別)-性別'!F5</f>
        <v>0</v>
      </c>
      <c r="G15" s="737">
        <f>'[3]40支出(政)(政府別)-性別'!G5</f>
        <v>0</v>
      </c>
      <c r="H15" s="737">
        <v>4021</v>
      </c>
      <c r="I15" s="737">
        <f>'[3]40支出(政)(政府別)-性別'!I5</f>
        <v>0</v>
      </c>
      <c r="J15" s="737">
        <v>170</v>
      </c>
      <c r="K15" s="737">
        <v>2634</v>
      </c>
      <c r="L15" s="737">
        <f>'[3]40支出(政)(政府別)-性別'!L5</f>
        <v>0</v>
      </c>
      <c r="M15" s="737">
        <f>'[3]40支出(政)(政府別)-性別'!M5</f>
        <v>0</v>
      </c>
      <c r="N15" s="737">
        <f>'[3]40支出(政)(政府別)-性別'!N5</f>
        <v>0</v>
      </c>
      <c r="O15" s="737">
        <f>'[3]40支出(政)(政府別)-性別'!O5</f>
        <v>0</v>
      </c>
      <c r="P15" s="737">
        <f>'[3]40支出(政)(政府別)-性別'!P5</f>
        <v>0</v>
      </c>
      <c r="Q15" s="737">
        <f>'[3]40支出(政)(政府別)-性別'!Q5</f>
        <v>0</v>
      </c>
    </row>
    <row r="16" spans="1:18" ht="31.5" customHeight="1">
      <c r="A16" s="901" t="s">
        <v>1042</v>
      </c>
      <c r="B16" s="901"/>
      <c r="C16" s="901"/>
      <c r="D16" s="901"/>
      <c r="E16" s="901"/>
      <c r="F16" s="919"/>
      <c r="G16" s="919"/>
      <c r="H16" s="919"/>
      <c r="I16" s="919"/>
      <c r="J16" s="919"/>
      <c r="K16" s="919"/>
      <c r="L16" s="919"/>
      <c r="M16" s="132"/>
      <c r="N16" s="132"/>
      <c r="O16" s="132"/>
      <c r="P16" s="132"/>
      <c r="Q16" s="132"/>
      <c r="R16" s="133"/>
    </row>
    <row r="17" spans="1:3" ht="36" customHeight="1">
      <c r="A17" s="724" t="s">
        <v>1041</v>
      </c>
      <c r="B17" s="136">
        <f>SUM(B5:Q13)-SUM('[1]44支出(政) '!$B$6:$Q$14)</f>
        <v>0</v>
      </c>
    </row>
    <row r="28" spans="1:3" ht="36" customHeight="1">
      <c r="B28" s="141"/>
      <c r="C28" s="141"/>
    </row>
  </sheetData>
  <mergeCells count="11">
    <mergeCell ref="A16:L16"/>
    <mergeCell ref="A1:I1"/>
    <mergeCell ref="J1:Q1"/>
    <mergeCell ref="A2:I2"/>
    <mergeCell ref="J2:O2"/>
    <mergeCell ref="P2:Q2"/>
    <mergeCell ref="A3:A4"/>
    <mergeCell ref="B3:B4"/>
    <mergeCell ref="C3:K3"/>
    <mergeCell ref="L3:N3"/>
    <mergeCell ref="O3:Q3"/>
  </mergeCells>
  <phoneticPr fontId="3" type="noConversion"/>
  <pageMargins left="0.43307086614173229" right="0.35433070866141736" top="0.59055118110236227" bottom="0.39370078740157483" header="0" footer="0"/>
  <pageSetup paperSize="9" scale="83" fitToWidth="0" fitToHeight="0" orientation="portrait" r:id="rId1"/>
  <headerFooter alignWithMargins="0"/>
  <colBreaks count="1" manualBreakCount="1">
    <brk id="9" max="1048575" man="1"/>
  </colBreaks>
  <legacyDrawing r:id="rId2"/>
</worksheet>
</file>

<file path=xl/worksheets/sheet47.xml><?xml version="1.0" encoding="utf-8"?>
<worksheet xmlns="http://schemas.openxmlformats.org/spreadsheetml/2006/main" xmlns:r="http://schemas.openxmlformats.org/officeDocument/2006/relationships">
  <sheetPr>
    <tabColor rgb="FFFF0000"/>
    <pageSetUpPr autoPageBreaks="0" fitToPage="1"/>
  </sheetPr>
  <dimension ref="A1:R28"/>
  <sheetViews>
    <sheetView view="pageBreakPreview" zoomScale="65" zoomScaleNormal="100" zoomScaleSheetLayoutView="65" workbookViewId="0">
      <pane ySplit="4" topLeftCell="A12" activePane="bottomLeft" state="frozen"/>
      <selection activeCell="B15" sqref="B15:Q15"/>
      <selection pane="bottomLeft" activeCell="L13" sqref="L13"/>
    </sheetView>
  </sheetViews>
  <sheetFormatPr defaultColWidth="9" defaultRowHeight="36" customHeight="1"/>
  <cols>
    <col min="1" max="1" width="8.5" style="137" customWidth="1"/>
    <col min="2" max="3" width="12" style="137" bestFit="1" customWidth="1"/>
    <col min="4" max="4" width="13.5" style="137" customWidth="1"/>
    <col min="5" max="5" width="11.75" style="137" customWidth="1"/>
    <col min="6" max="6" width="10.875" style="137" customWidth="1"/>
    <col min="7" max="7" width="11.625" style="137" customWidth="1"/>
    <col min="8" max="8" width="14" style="137" customWidth="1"/>
    <col min="9" max="9" width="9.125" style="137" customWidth="1"/>
    <col min="10" max="10" width="18" style="137" customWidth="1"/>
    <col min="11" max="11" width="15.5" style="137" customWidth="1"/>
    <col min="12" max="12" width="10.625" style="137" customWidth="1"/>
    <col min="13" max="13" width="11.125" style="137" customWidth="1"/>
    <col min="14" max="14" width="18" style="137" customWidth="1"/>
    <col min="15" max="15" width="9.625" style="137" customWidth="1"/>
    <col min="16" max="16" width="13.125" style="137" customWidth="1"/>
    <col min="17" max="17" width="11.875" style="137" customWidth="1"/>
    <col min="18" max="16384" width="9" style="122"/>
  </cols>
  <sheetData>
    <row r="1" spans="1:18" ht="33" customHeight="1">
      <c r="A1" s="897" t="s">
        <v>459</v>
      </c>
      <c r="B1" s="897"/>
      <c r="C1" s="897"/>
      <c r="D1" s="897"/>
      <c r="E1" s="897"/>
      <c r="F1" s="897"/>
      <c r="G1" s="897"/>
      <c r="H1" s="897"/>
      <c r="I1" s="897"/>
      <c r="J1" s="893" t="s">
        <v>454</v>
      </c>
      <c r="K1" s="893"/>
      <c r="L1" s="893"/>
      <c r="M1" s="893"/>
      <c r="N1" s="893"/>
      <c r="O1" s="893"/>
      <c r="P1" s="893"/>
      <c r="Q1" s="893"/>
    </row>
    <row r="2" spans="1:18" ht="33" customHeight="1">
      <c r="A2" s="898" t="s">
        <v>394</v>
      </c>
      <c r="B2" s="898"/>
      <c r="C2" s="898"/>
      <c r="D2" s="898"/>
      <c r="E2" s="898"/>
      <c r="F2" s="898"/>
      <c r="G2" s="898"/>
      <c r="H2" s="898"/>
      <c r="I2" s="898"/>
      <c r="J2" s="899" t="s">
        <v>395</v>
      </c>
      <c r="K2" s="899"/>
      <c r="L2" s="899"/>
      <c r="M2" s="899"/>
      <c r="N2" s="899"/>
      <c r="O2" s="899"/>
      <c r="P2" s="900" t="s">
        <v>65</v>
      </c>
      <c r="Q2" s="900"/>
    </row>
    <row r="3" spans="1:18" ht="30.2" customHeight="1">
      <c r="A3" s="902" t="s">
        <v>48</v>
      </c>
      <c r="B3" s="904" t="s">
        <v>49</v>
      </c>
      <c r="C3" s="896" t="s">
        <v>66</v>
      </c>
      <c r="D3" s="906"/>
      <c r="E3" s="906"/>
      <c r="F3" s="906"/>
      <c r="G3" s="906"/>
      <c r="H3" s="906"/>
      <c r="I3" s="906"/>
      <c r="J3" s="906"/>
      <c r="K3" s="907"/>
      <c r="L3" s="905" t="s">
        <v>67</v>
      </c>
      <c r="M3" s="929"/>
      <c r="N3" s="929"/>
      <c r="O3" s="895" t="s">
        <v>68</v>
      </c>
      <c r="P3" s="895"/>
      <c r="Q3" s="896"/>
    </row>
    <row r="4" spans="1:18" ht="41.25" customHeight="1">
      <c r="A4" s="903"/>
      <c r="B4" s="905"/>
      <c r="C4" s="709" t="s">
        <v>58</v>
      </c>
      <c r="D4" s="709" t="s">
        <v>74</v>
      </c>
      <c r="E4" s="709" t="s">
        <v>75</v>
      </c>
      <c r="F4" s="684" t="s">
        <v>97</v>
      </c>
      <c r="G4" s="684" t="s">
        <v>96</v>
      </c>
      <c r="H4" s="711" t="s">
        <v>76</v>
      </c>
      <c r="I4" s="710" t="s">
        <v>71</v>
      </c>
      <c r="J4" s="714" t="s">
        <v>983</v>
      </c>
      <c r="K4" s="714" t="s">
        <v>984</v>
      </c>
      <c r="L4" s="709" t="s">
        <v>58</v>
      </c>
      <c r="M4" s="709" t="s">
        <v>10</v>
      </c>
      <c r="N4" s="684" t="s">
        <v>190</v>
      </c>
      <c r="O4" s="709" t="s">
        <v>58</v>
      </c>
      <c r="P4" s="684" t="s">
        <v>77</v>
      </c>
      <c r="Q4" s="711" t="s">
        <v>78</v>
      </c>
      <c r="R4" s="724" t="s">
        <v>423</v>
      </c>
    </row>
    <row r="5" spans="1:18" ht="61.5" hidden="1" customHeight="1">
      <c r="A5" s="124" t="s">
        <v>2</v>
      </c>
      <c r="B5" s="726">
        <f t="shared" ref="B5:B8" si="0">C5+L5+O5</f>
        <v>11555525</v>
      </c>
      <c r="C5" s="726">
        <f>D5+E5+F5+G5+H5+I5+J5+K5</f>
        <v>10793003</v>
      </c>
      <c r="D5" s="726">
        <v>272764</v>
      </c>
      <c r="E5" s="726">
        <v>9842375</v>
      </c>
      <c r="F5" s="726">
        <v>59158</v>
      </c>
      <c r="G5" s="726">
        <v>137</v>
      </c>
      <c r="H5" s="726">
        <v>420079</v>
      </c>
      <c r="I5" s="726">
        <v>51113</v>
      </c>
      <c r="J5" s="726">
        <v>46955</v>
      </c>
      <c r="K5" s="726">
        <v>100422</v>
      </c>
      <c r="L5" s="740">
        <f>M5+N5</f>
        <v>596901</v>
      </c>
      <c r="M5" s="740">
        <v>247195</v>
      </c>
      <c r="N5" s="740">
        <v>349706</v>
      </c>
      <c r="O5" s="740">
        <f>P5+Q5</f>
        <v>165621</v>
      </c>
      <c r="P5" s="740">
        <v>140941</v>
      </c>
      <c r="Q5" s="740">
        <v>24680</v>
      </c>
      <c r="R5" s="730"/>
    </row>
    <row r="6" spans="1:18" ht="61.5" customHeight="1">
      <c r="A6" s="124" t="s">
        <v>3</v>
      </c>
      <c r="B6" s="726">
        <f t="shared" si="0"/>
        <v>13712299</v>
      </c>
      <c r="C6" s="726">
        <f>D6+E6+F6+G6+H6+I6+J6+K6</f>
        <v>12882206</v>
      </c>
      <c r="D6" s="726">
        <v>264869</v>
      </c>
      <c r="E6" s="726">
        <v>11872894</v>
      </c>
      <c r="F6" s="726">
        <v>74834</v>
      </c>
      <c r="G6" s="726">
        <v>137</v>
      </c>
      <c r="H6" s="726">
        <v>444025</v>
      </c>
      <c r="I6" s="726">
        <v>56967</v>
      </c>
      <c r="J6" s="726">
        <v>39656</v>
      </c>
      <c r="K6" s="726">
        <v>128824</v>
      </c>
      <c r="L6" s="740">
        <f>M6+N6</f>
        <v>629296</v>
      </c>
      <c r="M6" s="740">
        <v>237823</v>
      </c>
      <c r="N6" s="740">
        <v>391473</v>
      </c>
      <c r="O6" s="740">
        <f>P6+Q6</f>
        <v>200797</v>
      </c>
      <c r="P6" s="740">
        <v>178220</v>
      </c>
      <c r="Q6" s="740">
        <v>22577</v>
      </c>
      <c r="R6" s="738">
        <f>SUM(B6:Q14)-SUM('[2]45支出(公)-0'!$B$6:$Q$14)</f>
        <v>0</v>
      </c>
    </row>
    <row r="7" spans="1:18" ht="61.5" customHeight="1">
      <c r="A7" s="124" t="s">
        <v>4</v>
      </c>
      <c r="B7" s="95">
        <f t="shared" si="0"/>
        <v>16698819</v>
      </c>
      <c r="C7" s="726">
        <f>SUM(D7:K7)</f>
        <v>15722151</v>
      </c>
      <c r="D7" s="726">
        <v>201201</v>
      </c>
      <c r="E7" s="726">
        <v>14741485</v>
      </c>
      <c r="F7" s="726">
        <v>88076</v>
      </c>
      <c r="G7" s="726">
        <v>139</v>
      </c>
      <c r="H7" s="726">
        <v>427119</v>
      </c>
      <c r="I7" s="726">
        <v>34351</v>
      </c>
      <c r="J7" s="726">
        <v>62792</v>
      </c>
      <c r="K7" s="726">
        <v>166988</v>
      </c>
      <c r="L7" s="740">
        <f>SUM(M7:N7)</f>
        <v>701591</v>
      </c>
      <c r="M7" s="740">
        <v>260969</v>
      </c>
      <c r="N7" s="740">
        <v>440622</v>
      </c>
      <c r="O7" s="740">
        <f>SUM(P7:Q7)</f>
        <v>275077</v>
      </c>
      <c r="P7" s="740">
        <v>251044</v>
      </c>
      <c r="Q7" s="740">
        <v>24033</v>
      </c>
      <c r="R7" s="730"/>
    </row>
    <row r="8" spans="1:18" ht="61.5" customHeight="1">
      <c r="A8" s="124" t="s">
        <v>5</v>
      </c>
      <c r="B8" s="95">
        <f t="shared" si="0"/>
        <v>20225256</v>
      </c>
      <c r="C8" s="726">
        <f>SUM(D8:K8)</f>
        <v>19136400</v>
      </c>
      <c r="D8" s="726">
        <v>194532</v>
      </c>
      <c r="E8" s="726">
        <v>18045130</v>
      </c>
      <c r="F8" s="726">
        <v>98951</v>
      </c>
      <c r="G8" s="726">
        <v>176</v>
      </c>
      <c r="H8" s="726">
        <v>440270</v>
      </c>
      <c r="I8" s="726">
        <v>37783</v>
      </c>
      <c r="J8" s="726">
        <v>118195</v>
      </c>
      <c r="K8" s="726">
        <v>201363</v>
      </c>
      <c r="L8" s="740">
        <f>SUM(M8:N8)</f>
        <v>751899</v>
      </c>
      <c r="M8" s="740">
        <v>263980</v>
      </c>
      <c r="N8" s="740">
        <v>487919</v>
      </c>
      <c r="O8" s="740">
        <f>SUM(P8:Q8)</f>
        <v>336957</v>
      </c>
      <c r="P8" s="740">
        <v>304759</v>
      </c>
      <c r="Q8" s="740">
        <v>32198</v>
      </c>
      <c r="R8" s="730"/>
    </row>
    <row r="9" spans="1:18" ht="61.5" customHeight="1">
      <c r="A9" s="124" t="s">
        <v>6</v>
      </c>
      <c r="B9" s="95">
        <v>23573134</v>
      </c>
      <c r="C9" s="726">
        <v>22435551</v>
      </c>
      <c r="D9" s="740">
        <v>453702</v>
      </c>
      <c r="E9" s="740">
        <v>21066695</v>
      </c>
      <c r="F9" s="740">
        <v>92248</v>
      </c>
      <c r="G9" s="740">
        <v>173</v>
      </c>
      <c r="H9" s="740">
        <v>452749</v>
      </c>
      <c r="I9" s="740">
        <v>41891</v>
      </c>
      <c r="J9" s="740">
        <v>86023</v>
      </c>
      <c r="K9" s="740">
        <v>242070</v>
      </c>
      <c r="L9" s="740">
        <v>785564</v>
      </c>
      <c r="M9" s="740">
        <v>266583</v>
      </c>
      <c r="N9" s="740">
        <v>518981</v>
      </c>
      <c r="O9" s="740">
        <v>352019</v>
      </c>
      <c r="P9" s="740">
        <v>311212</v>
      </c>
      <c r="Q9" s="740">
        <v>40807</v>
      </c>
      <c r="R9" s="730"/>
    </row>
    <row r="10" spans="1:18" ht="61.5" customHeight="1">
      <c r="A10" s="124" t="s">
        <v>1035</v>
      </c>
      <c r="B10" s="95">
        <f>C10+L10+O10</f>
        <v>26939715</v>
      </c>
      <c r="C10" s="726">
        <f>SUM(D10:K10)</f>
        <v>25696564</v>
      </c>
      <c r="D10" s="740">
        <v>714805</v>
      </c>
      <c r="E10" s="740">
        <v>24007068</v>
      </c>
      <c r="F10" s="740">
        <v>93162</v>
      </c>
      <c r="G10" s="740">
        <v>173</v>
      </c>
      <c r="H10" s="740">
        <v>472680</v>
      </c>
      <c r="I10" s="740">
        <v>19652</v>
      </c>
      <c r="J10" s="740">
        <v>97632</v>
      </c>
      <c r="K10" s="740">
        <v>291392</v>
      </c>
      <c r="L10" s="740">
        <f>SUM(M10:N10)</f>
        <v>826261</v>
      </c>
      <c r="M10" s="740">
        <v>273991</v>
      </c>
      <c r="N10" s="740">
        <v>552270</v>
      </c>
      <c r="O10" s="740">
        <f>SUM(P10:Q10)</f>
        <v>416890</v>
      </c>
      <c r="P10" s="740">
        <v>351320</v>
      </c>
      <c r="Q10" s="740">
        <v>65570</v>
      </c>
      <c r="R10" s="730"/>
    </row>
    <row r="11" spans="1:18" ht="61.5" customHeight="1">
      <c r="A11" s="124" t="s">
        <v>1036</v>
      </c>
      <c r="B11" s="95">
        <f>C11+L11+O11</f>
        <v>30561589</v>
      </c>
      <c r="C11" s="726">
        <f>SUM(D11:K11)</f>
        <v>29204164</v>
      </c>
      <c r="D11" s="740">
        <v>786914</v>
      </c>
      <c r="E11" s="740">
        <v>27342227</v>
      </c>
      <c r="F11" s="740">
        <v>97770</v>
      </c>
      <c r="G11" s="740">
        <v>152</v>
      </c>
      <c r="H11" s="740">
        <v>491853</v>
      </c>
      <c r="I11" s="740">
        <v>32226</v>
      </c>
      <c r="J11" s="740">
        <v>101684</v>
      </c>
      <c r="K11" s="740">
        <v>351338</v>
      </c>
      <c r="L11" s="740">
        <f>SUM(M11:N11)</f>
        <v>877982</v>
      </c>
      <c r="M11" s="740">
        <v>287325</v>
      </c>
      <c r="N11" s="740">
        <v>590657</v>
      </c>
      <c r="O11" s="740">
        <f>SUM(P11:Q11)</f>
        <v>479443</v>
      </c>
      <c r="P11" s="740">
        <v>408251</v>
      </c>
      <c r="Q11" s="740">
        <v>71192</v>
      </c>
      <c r="R11" s="730"/>
    </row>
    <row r="12" spans="1:18" ht="61.5" customHeight="1">
      <c r="A12" s="124" t="s">
        <v>99</v>
      </c>
      <c r="B12" s="95">
        <v>34652073</v>
      </c>
      <c r="C12" s="726">
        <v>33075540</v>
      </c>
      <c r="D12" s="740">
        <v>840444</v>
      </c>
      <c r="E12" s="740">
        <v>31099664</v>
      </c>
      <c r="F12" s="740">
        <v>71312</v>
      </c>
      <c r="G12" s="740">
        <v>672</v>
      </c>
      <c r="H12" s="740">
        <v>477650</v>
      </c>
      <c r="I12" s="740">
        <v>21076</v>
      </c>
      <c r="J12" s="740">
        <v>143934</v>
      </c>
      <c r="K12" s="740">
        <v>420787</v>
      </c>
      <c r="L12" s="740">
        <f>SUM(M12:N12)</f>
        <v>1066646</v>
      </c>
      <c r="M12" s="740">
        <v>393146</v>
      </c>
      <c r="N12" s="740">
        <v>673500</v>
      </c>
      <c r="O12" s="740">
        <v>509888</v>
      </c>
      <c r="P12" s="740">
        <v>401676</v>
      </c>
      <c r="Q12" s="740">
        <v>108211</v>
      </c>
      <c r="R12" s="730"/>
    </row>
    <row r="13" spans="1:18" ht="61.5" customHeight="1">
      <c r="A13" s="124" t="s">
        <v>1037</v>
      </c>
      <c r="B13" s="95">
        <v>38124486</v>
      </c>
      <c r="C13" s="726">
        <v>36484294</v>
      </c>
      <c r="D13" s="740">
        <v>1344706</v>
      </c>
      <c r="E13" s="740">
        <v>33911415</v>
      </c>
      <c r="F13" s="740">
        <v>53658</v>
      </c>
      <c r="G13" s="740">
        <v>1641</v>
      </c>
      <c r="H13" s="740">
        <v>476127</v>
      </c>
      <c r="I13" s="740">
        <v>27792</v>
      </c>
      <c r="J13" s="740">
        <v>170675</v>
      </c>
      <c r="K13" s="740">
        <v>498279</v>
      </c>
      <c r="L13" s="740">
        <f>SUM(M13:N13)</f>
        <v>971172</v>
      </c>
      <c r="M13" s="740">
        <v>307420</v>
      </c>
      <c r="N13" s="740">
        <v>663752</v>
      </c>
      <c r="O13" s="740">
        <v>669020</v>
      </c>
      <c r="P13" s="740">
        <v>529478</v>
      </c>
      <c r="Q13" s="740">
        <v>139541</v>
      </c>
      <c r="R13" s="730"/>
    </row>
    <row r="14" spans="1:18" ht="61.5" customHeight="1">
      <c r="A14" s="124" t="s">
        <v>189</v>
      </c>
      <c r="B14" s="95">
        <v>42009498</v>
      </c>
      <c r="C14" s="726">
        <v>40028964</v>
      </c>
      <c r="D14" s="740">
        <v>1684212</v>
      </c>
      <c r="E14" s="740">
        <v>37054592</v>
      </c>
      <c r="F14" s="740">
        <v>53295</v>
      </c>
      <c r="G14" s="740">
        <v>1134</v>
      </c>
      <c r="H14" s="740">
        <v>466436</v>
      </c>
      <c r="I14" s="740">
        <v>13204</v>
      </c>
      <c r="J14" s="740">
        <v>137394</v>
      </c>
      <c r="K14" s="740">
        <v>618698</v>
      </c>
      <c r="L14" s="740">
        <v>921492</v>
      </c>
      <c r="M14" s="740">
        <v>228321</v>
      </c>
      <c r="N14" s="740">
        <v>693171</v>
      </c>
      <c r="O14" s="740">
        <v>1059041</v>
      </c>
      <c r="P14" s="740">
        <v>887665</v>
      </c>
      <c r="Q14" s="740">
        <v>171376</v>
      </c>
      <c r="R14" s="730"/>
    </row>
    <row r="15" spans="1:18" ht="64.150000000000006" customHeight="1">
      <c r="A15" s="719" t="s">
        <v>1048</v>
      </c>
      <c r="B15" s="776">
        <v>43331055</v>
      </c>
      <c r="C15" s="777">
        <v>41925759</v>
      </c>
      <c r="D15" s="777">
        <v>993244</v>
      </c>
      <c r="E15" s="777">
        <v>39493372</v>
      </c>
      <c r="F15" s="777">
        <v>39553</v>
      </c>
      <c r="G15" s="777">
        <v>1735</v>
      </c>
      <c r="H15" s="777">
        <v>462168</v>
      </c>
      <c r="I15" s="777">
        <v>22111</v>
      </c>
      <c r="J15" s="777">
        <v>185112</v>
      </c>
      <c r="K15" s="777">
        <v>728464</v>
      </c>
      <c r="L15" s="777">
        <v>1103950</v>
      </c>
      <c r="M15" s="777">
        <v>372814</v>
      </c>
      <c r="N15" s="777">
        <v>731136</v>
      </c>
      <c r="O15" s="777">
        <v>301346</v>
      </c>
      <c r="P15" s="777">
        <v>228019</v>
      </c>
      <c r="Q15" s="777">
        <v>73326</v>
      </c>
    </row>
    <row r="16" spans="1:18" ht="29.25" customHeight="1">
      <c r="A16" s="909" t="s">
        <v>1049</v>
      </c>
      <c r="B16" s="909"/>
      <c r="C16" s="909"/>
      <c r="D16" s="909"/>
      <c r="E16" s="909"/>
      <c r="F16" s="909"/>
      <c r="G16" s="909"/>
      <c r="H16" s="909"/>
      <c r="I16" s="909"/>
      <c r="J16" s="909"/>
      <c r="K16" s="909"/>
      <c r="L16" s="132"/>
      <c r="M16" s="132"/>
      <c r="N16" s="132"/>
      <c r="O16" s="132"/>
      <c r="P16" s="132"/>
      <c r="Q16" s="132"/>
      <c r="R16" s="133"/>
    </row>
    <row r="17" spans="1:17" ht="36" customHeight="1">
      <c r="A17" s="724" t="s">
        <v>1041</v>
      </c>
      <c r="B17" s="136">
        <f>SUM(B5:Q13)-SUM('[1]45支出(公) '!$B$6:$Q$14)</f>
        <v>0</v>
      </c>
    </row>
    <row r="18" spans="1:17" ht="36" customHeight="1">
      <c r="B18" s="136"/>
      <c r="C18" s="136"/>
      <c r="D18" s="136"/>
      <c r="E18" s="136"/>
      <c r="F18" s="136"/>
      <c r="G18" s="136"/>
      <c r="H18" s="136"/>
      <c r="I18" s="136"/>
      <c r="J18" s="136"/>
      <c r="K18" s="136"/>
      <c r="L18" s="136"/>
      <c r="M18" s="136"/>
      <c r="N18" s="136"/>
      <c r="O18" s="136"/>
      <c r="P18" s="136"/>
      <c r="Q18" s="136"/>
    </row>
    <row r="28" spans="1:17" ht="36" customHeight="1">
      <c r="B28" s="141"/>
      <c r="C28" s="141"/>
    </row>
  </sheetData>
  <mergeCells count="11">
    <mergeCell ref="A16:K16"/>
    <mergeCell ref="A1:I1"/>
    <mergeCell ref="J1:Q1"/>
    <mergeCell ref="A2:I2"/>
    <mergeCell ref="J2:O2"/>
    <mergeCell ref="P2:Q2"/>
    <mergeCell ref="A3:A4"/>
    <mergeCell ref="B3:B4"/>
    <mergeCell ref="C3:K3"/>
    <mergeCell ref="L3:N3"/>
    <mergeCell ref="O3:Q3"/>
  </mergeCells>
  <phoneticPr fontId="3" type="noConversion"/>
  <pageMargins left="0.43307086614173229" right="0.35433070866141736" top="0.59055118110236227" bottom="0.39370078740157483" header="0" footer="0"/>
  <pageSetup paperSize="9" scale="87" fitToWidth="2" orientation="portrait" r:id="rId1"/>
  <headerFooter alignWithMargins="0"/>
  <legacyDrawing r:id="rId2"/>
</worksheet>
</file>

<file path=xl/worksheets/sheet48.xml><?xml version="1.0" encoding="utf-8"?>
<worksheet xmlns="http://schemas.openxmlformats.org/spreadsheetml/2006/main" xmlns:r="http://schemas.openxmlformats.org/officeDocument/2006/relationships">
  <sheetPr>
    <tabColor rgb="FFFF0000"/>
    <pageSetUpPr autoPageBreaks="0" fitToPage="1"/>
  </sheetPr>
  <dimension ref="A1:R28"/>
  <sheetViews>
    <sheetView view="pageBreakPreview" zoomScale="65" zoomScaleNormal="100" zoomScaleSheetLayoutView="65" workbookViewId="0">
      <pane ySplit="4" topLeftCell="A5" activePane="bottomLeft" state="frozen"/>
      <selection activeCell="B15" sqref="B15:Q15"/>
      <selection pane="bottomLeft" activeCell="B15" sqref="B15:Q15"/>
    </sheetView>
  </sheetViews>
  <sheetFormatPr defaultColWidth="9" defaultRowHeight="36" customHeight="1"/>
  <cols>
    <col min="1" max="1" width="8.5" style="137" customWidth="1"/>
    <col min="2" max="2" width="11.875" style="137" customWidth="1"/>
    <col min="3" max="3" width="12" style="137" bestFit="1" customWidth="1"/>
    <col min="4" max="6" width="14" style="137" customWidth="1"/>
    <col min="7" max="7" width="14.5" style="137" customWidth="1"/>
    <col min="8" max="8" width="14" style="137" customWidth="1"/>
    <col min="9" max="9" width="8.625" style="137" customWidth="1"/>
    <col min="10" max="10" width="18" style="137" customWidth="1"/>
    <col min="11" max="11" width="15.5" style="137" customWidth="1"/>
    <col min="12" max="12" width="9.625" style="137" customWidth="1"/>
    <col min="13" max="13" width="11.125" style="137" customWidth="1"/>
    <col min="14" max="14" width="18" style="137" customWidth="1"/>
    <col min="15" max="15" width="9.625" style="137" customWidth="1"/>
    <col min="16" max="16" width="13.125" style="137" customWidth="1"/>
    <col min="17" max="17" width="11.875" style="137" customWidth="1"/>
    <col min="18" max="16384" width="9" style="122"/>
  </cols>
  <sheetData>
    <row r="1" spans="1:18" ht="33" customHeight="1">
      <c r="A1" s="897" t="s">
        <v>460</v>
      </c>
      <c r="B1" s="897"/>
      <c r="C1" s="897"/>
      <c r="D1" s="897"/>
      <c r="E1" s="897"/>
      <c r="F1" s="897"/>
      <c r="G1" s="897"/>
      <c r="H1" s="897"/>
      <c r="I1" s="897"/>
      <c r="J1" s="893" t="s">
        <v>454</v>
      </c>
      <c r="K1" s="893"/>
      <c r="L1" s="893"/>
      <c r="M1" s="893"/>
      <c r="N1" s="893"/>
      <c r="O1" s="893"/>
      <c r="P1" s="893"/>
      <c r="Q1" s="893"/>
    </row>
    <row r="2" spans="1:18" ht="33" customHeight="1">
      <c r="A2" s="898" t="s">
        <v>461</v>
      </c>
      <c r="B2" s="898"/>
      <c r="C2" s="898"/>
      <c r="D2" s="898"/>
      <c r="E2" s="898"/>
      <c r="F2" s="898"/>
      <c r="G2" s="898"/>
      <c r="H2" s="898"/>
      <c r="I2" s="898"/>
      <c r="J2" s="899" t="s">
        <v>395</v>
      </c>
      <c r="K2" s="899"/>
      <c r="L2" s="899"/>
      <c r="M2" s="899"/>
      <c r="N2" s="899"/>
      <c r="O2" s="899"/>
      <c r="P2" s="900" t="s">
        <v>65</v>
      </c>
      <c r="Q2" s="900"/>
    </row>
    <row r="3" spans="1:18" ht="30.2" customHeight="1">
      <c r="A3" s="902" t="s">
        <v>48</v>
      </c>
      <c r="B3" s="904" t="s">
        <v>49</v>
      </c>
      <c r="C3" s="896" t="s">
        <v>66</v>
      </c>
      <c r="D3" s="906"/>
      <c r="E3" s="906"/>
      <c r="F3" s="906"/>
      <c r="G3" s="906"/>
      <c r="H3" s="906"/>
      <c r="I3" s="906"/>
      <c r="J3" s="906"/>
      <c r="K3" s="907"/>
      <c r="L3" s="905" t="s">
        <v>67</v>
      </c>
      <c r="M3" s="929"/>
      <c r="N3" s="929"/>
      <c r="O3" s="895" t="s">
        <v>68</v>
      </c>
      <c r="P3" s="895"/>
      <c r="Q3" s="896"/>
    </row>
    <row r="4" spans="1:18" ht="54" customHeight="1">
      <c r="A4" s="903"/>
      <c r="B4" s="905"/>
      <c r="C4" s="709" t="s">
        <v>58</v>
      </c>
      <c r="D4" s="709" t="s">
        <v>74</v>
      </c>
      <c r="E4" s="709" t="s">
        <v>75</v>
      </c>
      <c r="F4" s="684" t="s">
        <v>97</v>
      </c>
      <c r="G4" s="684" t="s">
        <v>96</v>
      </c>
      <c r="H4" s="711" t="s">
        <v>76</v>
      </c>
      <c r="I4" s="710" t="s">
        <v>71</v>
      </c>
      <c r="J4" s="714" t="s">
        <v>983</v>
      </c>
      <c r="K4" s="714" t="s">
        <v>984</v>
      </c>
      <c r="L4" s="709" t="s">
        <v>58</v>
      </c>
      <c r="M4" s="709" t="s">
        <v>10</v>
      </c>
      <c r="N4" s="684" t="s">
        <v>190</v>
      </c>
      <c r="O4" s="709" t="s">
        <v>58</v>
      </c>
      <c r="P4" s="684" t="s">
        <v>77</v>
      </c>
      <c r="Q4" s="711" t="s">
        <v>78</v>
      </c>
      <c r="R4" s="724" t="s">
        <v>423</v>
      </c>
    </row>
    <row r="5" spans="1:18" ht="60" hidden="1" customHeight="1">
      <c r="A5" s="124" t="s">
        <v>2</v>
      </c>
      <c r="B5" s="726">
        <f t="shared" ref="B5:B8" si="0">C5+L5+O5</f>
        <v>12703381</v>
      </c>
      <c r="C5" s="726">
        <f>D5+E5+F5+G5+H5+I5+J5+K5</f>
        <v>12409856</v>
      </c>
      <c r="D5" s="726">
        <v>172203</v>
      </c>
      <c r="E5" s="726">
        <v>11246782</v>
      </c>
      <c r="F5" s="726">
        <v>109374</v>
      </c>
      <c r="G5" s="726">
        <v>652</v>
      </c>
      <c r="H5" s="726">
        <v>745528</v>
      </c>
      <c r="I5" s="726">
        <v>40910</v>
      </c>
      <c r="J5" s="726">
        <v>26750</v>
      </c>
      <c r="K5" s="726">
        <v>67657</v>
      </c>
      <c r="L5" s="726">
        <f>M5+N5</f>
        <v>222198</v>
      </c>
      <c r="M5" s="740">
        <v>105744</v>
      </c>
      <c r="N5" s="740">
        <v>116454</v>
      </c>
      <c r="O5" s="726">
        <f>P5+Q5</f>
        <v>71327</v>
      </c>
      <c r="P5" s="726">
        <v>57972</v>
      </c>
      <c r="Q5" s="726">
        <v>13355</v>
      </c>
      <c r="R5" s="730"/>
    </row>
    <row r="6" spans="1:18" ht="60" customHeight="1">
      <c r="A6" s="124" t="s">
        <v>3</v>
      </c>
      <c r="B6" s="726">
        <f t="shared" si="0"/>
        <v>14054334</v>
      </c>
      <c r="C6" s="726">
        <f>D6+E6+F6+G6+H6+I6+J6+K6</f>
        <v>13743026</v>
      </c>
      <c r="D6" s="726">
        <v>142468</v>
      </c>
      <c r="E6" s="726">
        <v>12592616</v>
      </c>
      <c r="F6" s="726">
        <v>125302</v>
      </c>
      <c r="G6" s="726">
        <v>652</v>
      </c>
      <c r="H6" s="726">
        <v>723163</v>
      </c>
      <c r="I6" s="726">
        <v>44190</v>
      </c>
      <c r="J6" s="726">
        <v>28034</v>
      </c>
      <c r="K6" s="726">
        <v>86601</v>
      </c>
      <c r="L6" s="726">
        <f>M6+N6</f>
        <v>243444</v>
      </c>
      <c r="M6" s="740">
        <v>112908</v>
      </c>
      <c r="N6" s="740">
        <v>130536</v>
      </c>
      <c r="O6" s="726">
        <f>P6+Q6</f>
        <v>67864</v>
      </c>
      <c r="P6" s="726">
        <v>59677</v>
      </c>
      <c r="Q6" s="726">
        <v>8187</v>
      </c>
      <c r="R6" s="738">
        <f>SUM(B6:Q14)-SUM('[2]46支出(教)-OK  '!$B$6:$Q$14)</f>
        <v>0</v>
      </c>
    </row>
    <row r="7" spans="1:18" ht="60" customHeight="1">
      <c r="A7" s="124" t="s">
        <v>4</v>
      </c>
      <c r="B7" s="95">
        <f t="shared" si="0"/>
        <v>15984883</v>
      </c>
      <c r="C7" s="726">
        <f>SUM(D7:K7)</f>
        <v>15626307</v>
      </c>
      <c r="D7" s="726">
        <v>133498</v>
      </c>
      <c r="E7" s="726">
        <v>14466221</v>
      </c>
      <c r="F7" s="726">
        <v>126384</v>
      </c>
      <c r="G7" s="726">
        <v>774</v>
      </c>
      <c r="H7" s="726">
        <v>711376</v>
      </c>
      <c r="I7" s="726">
        <v>54329</v>
      </c>
      <c r="J7" s="726">
        <v>21514</v>
      </c>
      <c r="K7" s="726">
        <v>112211</v>
      </c>
      <c r="L7" s="726">
        <f>SUM(M7:N7)</f>
        <v>272432</v>
      </c>
      <c r="M7" s="740">
        <v>122431</v>
      </c>
      <c r="N7" s="740">
        <v>150001</v>
      </c>
      <c r="O7" s="726">
        <f>SUM(P7:Q7)</f>
        <v>86144</v>
      </c>
      <c r="P7" s="726">
        <v>73307</v>
      </c>
      <c r="Q7" s="726">
        <v>12837</v>
      </c>
      <c r="R7" s="730"/>
    </row>
    <row r="8" spans="1:18" ht="60" customHeight="1">
      <c r="A8" s="124" t="s">
        <v>5</v>
      </c>
      <c r="B8" s="726">
        <f t="shared" si="0"/>
        <v>18310673</v>
      </c>
      <c r="C8" s="726">
        <f>SUM(D8:K8)</f>
        <v>17943011</v>
      </c>
      <c r="D8" s="726">
        <v>149489</v>
      </c>
      <c r="E8" s="726">
        <v>16702254</v>
      </c>
      <c r="F8" s="726">
        <v>135708</v>
      </c>
      <c r="G8" s="726">
        <v>896</v>
      </c>
      <c r="H8" s="726">
        <v>745121</v>
      </c>
      <c r="I8" s="726">
        <v>46028</v>
      </c>
      <c r="J8" s="726">
        <v>25577</v>
      </c>
      <c r="K8" s="726">
        <v>137938</v>
      </c>
      <c r="L8" s="726">
        <f>SUM(M8:N8)</f>
        <v>282591</v>
      </c>
      <c r="M8" s="740">
        <v>115968</v>
      </c>
      <c r="N8" s="740">
        <v>166623</v>
      </c>
      <c r="O8" s="726">
        <f>SUM(P8:Q8)</f>
        <v>85071</v>
      </c>
      <c r="P8" s="726">
        <v>72326</v>
      </c>
      <c r="Q8" s="726">
        <v>12745</v>
      </c>
      <c r="R8" s="730"/>
    </row>
    <row r="9" spans="1:18" ht="60" customHeight="1">
      <c r="A9" s="124" t="s">
        <v>6</v>
      </c>
      <c r="B9" s="726">
        <v>20486592</v>
      </c>
      <c r="C9" s="726">
        <v>20053104</v>
      </c>
      <c r="D9" s="726">
        <v>166474</v>
      </c>
      <c r="E9" s="726">
        <v>18775728</v>
      </c>
      <c r="F9" s="726">
        <v>119961</v>
      </c>
      <c r="G9" s="726">
        <v>894</v>
      </c>
      <c r="H9" s="726">
        <v>731785</v>
      </c>
      <c r="I9" s="726">
        <v>51600</v>
      </c>
      <c r="J9" s="726">
        <v>40609</v>
      </c>
      <c r="K9" s="726">
        <v>166053</v>
      </c>
      <c r="L9" s="726">
        <v>350798</v>
      </c>
      <c r="M9" s="740">
        <v>164049</v>
      </c>
      <c r="N9" s="740">
        <v>186749</v>
      </c>
      <c r="O9" s="726">
        <v>82690</v>
      </c>
      <c r="P9" s="726">
        <v>72827</v>
      </c>
      <c r="Q9" s="726">
        <v>9863</v>
      </c>
      <c r="R9" s="730"/>
    </row>
    <row r="10" spans="1:18" ht="60" customHeight="1">
      <c r="A10" s="124" t="s">
        <v>1035</v>
      </c>
      <c r="B10" s="95">
        <f>C10+L10+O10</f>
        <v>22445267</v>
      </c>
      <c r="C10" s="726">
        <f>SUM(D10:K10)</f>
        <v>21992995</v>
      </c>
      <c r="D10" s="726">
        <v>145844</v>
      </c>
      <c r="E10" s="726">
        <v>20743014</v>
      </c>
      <c r="F10" s="726">
        <v>113973</v>
      </c>
      <c r="G10" s="726">
        <v>1285</v>
      </c>
      <c r="H10" s="726">
        <v>708654</v>
      </c>
      <c r="I10" s="726">
        <v>44637</v>
      </c>
      <c r="J10" s="726">
        <v>39594</v>
      </c>
      <c r="K10" s="726">
        <v>195994</v>
      </c>
      <c r="L10" s="726">
        <f>SUM(M10:N10)</f>
        <v>375964</v>
      </c>
      <c r="M10" s="726">
        <v>165460</v>
      </c>
      <c r="N10" s="726">
        <v>210504</v>
      </c>
      <c r="O10" s="726">
        <f>SUM(P10:Q10)</f>
        <v>76308</v>
      </c>
      <c r="P10" s="726">
        <v>65841</v>
      </c>
      <c r="Q10" s="726">
        <v>10467</v>
      </c>
      <c r="R10" s="730"/>
    </row>
    <row r="11" spans="1:18" ht="60" customHeight="1">
      <c r="A11" s="124" t="s">
        <v>1036</v>
      </c>
      <c r="B11" s="95">
        <f>C11+L11+O11</f>
        <v>24931853</v>
      </c>
      <c r="C11" s="726">
        <f>SUM(D11:K11)</f>
        <v>24444041</v>
      </c>
      <c r="D11" s="726">
        <v>134925</v>
      </c>
      <c r="E11" s="726">
        <v>23129432</v>
      </c>
      <c r="F11" s="726">
        <v>131681</v>
      </c>
      <c r="G11" s="726">
        <v>1286</v>
      </c>
      <c r="H11" s="726">
        <v>713228</v>
      </c>
      <c r="I11" s="726">
        <v>56580</v>
      </c>
      <c r="J11" s="726">
        <v>43592</v>
      </c>
      <c r="K11" s="726">
        <v>233317</v>
      </c>
      <c r="L11" s="726">
        <f>SUM(M11:N11)</f>
        <v>387182</v>
      </c>
      <c r="M11" s="726">
        <v>158175</v>
      </c>
      <c r="N11" s="726">
        <v>229007</v>
      </c>
      <c r="O11" s="726">
        <f>SUM(P11:Q11)</f>
        <v>100630</v>
      </c>
      <c r="P11" s="726">
        <v>90547</v>
      </c>
      <c r="Q11" s="726">
        <v>10083</v>
      </c>
      <c r="R11" s="730"/>
    </row>
    <row r="12" spans="1:18" ht="60" customHeight="1">
      <c r="A12" s="124" t="s">
        <v>99</v>
      </c>
      <c r="B12" s="95">
        <f>C12+L12+O12</f>
        <v>27909447</v>
      </c>
      <c r="C12" s="726">
        <f>SUM(D12:K12)</f>
        <v>27419209</v>
      </c>
      <c r="D12" s="726">
        <v>156745</v>
      </c>
      <c r="E12" s="726">
        <v>26022835</v>
      </c>
      <c r="F12" s="726">
        <v>131826</v>
      </c>
      <c r="G12" s="726">
        <v>1488</v>
      </c>
      <c r="H12" s="726">
        <v>713496</v>
      </c>
      <c r="I12" s="726">
        <v>63242</v>
      </c>
      <c r="J12" s="726">
        <v>51714</v>
      </c>
      <c r="K12" s="726">
        <v>277863</v>
      </c>
      <c r="L12" s="726">
        <f>SUM(M12:N12)</f>
        <v>398634</v>
      </c>
      <c r="M12" s="726">
        <v>150631</v>
      </c>
      <c r="N12" s="726">
        <v>248003</v>
      </c>
      <c r="O12" s="726">
        <f>SUM(P12:Q12)</f>
        <v>91604</v>
      </c>
      <c r="P12" s="726">
        <v>80026</v>
      </c>
      <c r="Q12" s="726">
        <v>11578</v>
      </c>
      <c r="R12" s="730"/>
    </row>
    <row r="13" spans="1:18" ht="60" customHeight="1">
      <c r="A13" s="124" t="s">
        <v>1037</v>
      </c>
      <c r="B13" s="95">
        <v>31008544</v>
      </c>
      <c r="C13" s="726">
        <v>30448482</v>
      </c>
      <c r="D13" s="726">
        <v>234965</v>
      </c>
      <c r="E13" s="726">
        <v>28882815</v>
      </c>
      <c r="F13" s="726">
        <v>110653</v>
      </c>
      <c r="G13" s="726">
        <v>1509</v>
      </c>
      <c r="H13" s="726">
        <v>727578</v>
      </c>
      <c r="I13" s="726">
        <v>84355</v>
      </c>
      <c r="J13" s="726">
        <v>80668</v>
      </c>
      <c r="K13" s="726">
        <v>325939</v>
      </c>
      <c r="L13" s="726">
        <v>430250</v>
      </c>
      <c r="M13" s="726">
        <v>161668</v>
      </c>
      <c r="N13" s="726">
        <v>268582</v>
      </c>
      <c r="O13" s="726">
        <v>129812</v>
      </c>
      <c r="P13" s="726">
        <v>114136</v>
      </c>
      <c r="Q13" s="726">
        <v>15676</v>
      </c>
      <c r="R13" s="730"/>
    </row>
    <row r="14" spans="1:18" ht="60" customHeight="1">
      <c r="A14" s="124" t="s">
        <v>189</v>
      </c>
      <c r="B14" s="95">
        <v>34281744</v>
      </c>
      <c r="C14" s="726">
        <v>33671498</v>
      </c>
      <c r="D14" s="726">
        <v>260912</v>
      </c>
      <c r="E14" s="726">
        <v>32084100</v>
      </c>
      <c r="F14" s="726">
        <v>78161</v>
      </c>
      <c r="G14" s="726">
        <v>1538</v>
      </c>
      <c r="H14" s="726">
        <v>717018</v>
      </c>
      <c r="I14" s="726">
        <v>48448</v>
      </c>
      <c r="J14" s="726">
        <v>77932</v>
      </c>
      <c r="K14" s="726">
        <v>403391</v>
      </c>
      <c r="L14" s="726">
        <v>469699</v>
      </c>
      <c r="M14" s="726">
        <v>173013</v>
      </c>
      <c r="N14" s="726">
        <v>296686</v>
      </c>
      <c r="O14" s="726">
        <v>140547</v>
      </c>
      <c r="P14" s="726">
        <v>124894</v>
      </c>
      <c r="Q14" s="726">
        <v>15653</v>
      </c>
      <c r="R14" s="730"/>
    </row>
    <row r="15" spans="1:18" ht="64.150000000000006" customHeight="1">
      <c r="A15" s="719" t="s">
        <v>1048</v>
      </c>
      <c r="B15" s="776">
        <v>36109790</v>
      </c>
      <c r="C15" s="777">
        <v>35478704</v>
      </c>
      <c r="D15" s="777">
        <v>196837</v>
      </c>
      <c r="E15" s="777">
        <v>33868095</v>
      </c>
      <c r="F15" s="777">
        <v>58892</v>
      </c>
      <c r="G15" s="777">
        <v>1538</v>
      </c>
      <c r="H15" s="777">
        <v>721432</v>
      </c>
      <c r="I15" s="777">
        <v>26076</v>
      </c>
      <c r="J15" s="777">
        <v>144071</v>
      </c>
      <c r="K15" s="777">
        <v>461765</v>
      </c>
      <c r="L15" s="777">
        <v>554087</v>
      </c>
      <c r="M15" s="777">
        <v>217182</v>
      </c>
      <c r="N15" s="777">
        <v>336905</v>
      </c>
      <c r="O15" s="777">
        <v>76998</v>
      </c>
      <c r="P15" s="777">
        <v>59543</v>
      </c>
      <c r="Q15" s="777">
        <v>17455</v>
      </c>
    </row>
    <row r="16" spans="1:18" ht="29.25" customHeight="1">
      <c r="A16" s="909" t="s">
        <v>1043</v>
      </c>
      <c r="B16" s="909"/>
      <c r="C16" s="909"/>
      <c r="D16" s="909"/>
      <c r="E16" s="909"/>
      <c r="F16" s="909"/>
      <c r="G16" s="909"/>
      <c r="H16" s="909"/>
      <c r="I16" s="909"/>
      <c r="J16" s="909"/>
      <c r="K16" s="909"/>
      <c r="L16" s="132"/>
      <c r="M16" s="132"/>
      <c r="N16" s="132"/>
      <c r="O16" s="132"/>
      <c r="P16" s="132"/>
      <c r="Q16" s="132"/>
      <c r="R16" s="133"/>
    </row>
    <row r="17" spans="1:17" ht="36" customHeight="1">
      <c r="A17" s="724" t="s">
        <v>1041</v>
      </c>
      <c r="B17" s="136">
        <f>SUM(B5:Q13)-SUM('[1]46支出(教) '!$B$6:$Q$14)</f>
        <v>0</v>
      </c>
    </row>
    <row r="18" spans="1:17" ht="36" customHeight="1">
      <c r="B18" s="136"/>
      <c r="C18" s="136"/>
      <c r="D18" s="136"/>
      <c r="E18" s="136"/>
      <c r="F18" s="136"/>
      <c r="G18" s="136"/>
      <c r="H18" s="136"/>
      <c r="I18" s="136"/>
      <c r="J18" s="136"/>
      <c r="K18" s="136"/>
      <c r="L18" s="136"/>
      <c r="M18" s="136"/>
      <c r="N18" s="136"/>
      <c r="O18" s="136"/>
      <c r="P18" s="136"/>
      <c r="Q18" s="136"/>
    </row>
    <row r="28" spans="1:17" ht="36" customHeight="1">
      <c r="B28" s="141"/>
      <c r="C28" s="141"/>
    </row>
  </sheetData>
  <mergeCells count="11">
    <mergeCell ref="A16:K16"/>
    <mergeCell ref="A1:I1"/>
    <mergeCell ref="J1:Q1"/>
    <mergeCell ref="A2:I2"/>
    <mergeCell ref="J2:O2"/>
    <mergeCell ref="P2:Q2"/>
    <mergeCell ref="A3:A4"/>
    <mergeCell ref="B3:B4"/>
    <mergeCell ref="C3:K3"/>
    <mergeCell ref="L3:N3"/>
    <mergeCell ref="O3:Q3"/>
  </mergeCells>
  <phoneticPr fontId="3" type="noConversion"/>
  <pageMargins left="0.39" right="0.24" top="0.59055118110236227" bottom="0.39370078740157483" header="0.28000000000000003" footer="0"/>
  <pageSetup paperSize="9" scale="87" fitToWidth="2" orientation="portrait" r:id="rId1"/>
  <headerFooter alignWithMargins="0"/>
  <legacyDrawing r:id="rId2"/>
</worksheet>
</file>

<file path=xl/worksheets/sheet49.xml><?xml version="1.0" encoding="utf-8"?>
<worksheet xmlns="http://schemas.openxmlformats.org/spreadsheetml/2006/main" xmlns:r="http://schemas.openxmlformats.org/officeDocument/2006/relationships">
  <sheetPr>
    <tabColor rgb="FFFF0000"/>
    <pageSetUpPr autoPageBreaks="0"/>
  </sheetPr>
  <dimension ref="A1:R28"/>
  <sheetViews>
    <sheetView view="pageBreakPreview" zoomScale="65" zoomScaleNormal="100" zoomScaleSheetLayoutView="65"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36" customHeight="1"/>
  <cols>
    <col min="1" max="1" width="8.5" style="137" customWidth="1"/>
    <col min="2" max="2" width="13.5" style="137" bestFit="1" customWidth="1"/>
    <col min="3" max="5" width="14.375" style="137" customWidth="1"/>
    <col min="6" max="6" width="14.5" style="137" customWidth="1"/>
    <col min="7" max="7" width="13.5" style="137" customWidth="1"/>
    <col min="8" max="8" width="16" style="137" bestFit="1" customWidth="1"/>
    <col min="9" max="9" width="15.875" style="137" customWidth="1"/>
    <col min="10" max="10" width="9.625" style="137" customWidth="1"/>
    <col min="11" max="11" width="11.125" style="137" customWidth="1"/>
    <col min="12" max="12" width="11.5" style="137" customWidth="1"/>
    <col min="13" max="13" width="9.625" style="137" customWidth="1"/>
    <col min="14" max="14" width="13.125" style="137" customWidth="1"/>
    <col min="15" max="15" width="11.875" style="137" customWidth="1"/>
    <col min="16" max="16384" width="9" style="122"/>
  </cols>
  <sheetData>
    <row r="1" spans="1:18" ht="33" customHeight="1">
      <c r="A1" s="897" t="s">
        <v>462</v>
      </c>
      <c r="B1" s="897"/>
      <c r="C1" s="897"/>
      <c r="D1" s="897"/>
      <c r="E1" s="897"/>
      <c r="F1" s="897"/>
      <c r="G1" s="897"/>
      <c r="H1" s="893" t="s">
        <v>454</v>
      </c>
      <c r="I1" s="893"/>
      <c r="J1" s="893"/>
      <c r="K1" s="893"/>
      <c r="L1" s="893"/>
      <c r="M1" s="893"/>
      <c r="N1" s="893"/>
      <c r="O1" s="893"/>
    </row>
    <row r="2" spans="1:18" ht="33" customHeight="1">
      <c r="A2" s="898" t="s">
        <v>394</v>
      </c>
      <c r="B2" s="898"/>
      <c r="C2" s="898"/>
      <c r="D2" s="898"/>
      <c r="E2" s="898"/>
      <c r="F2" s="898"/>
      <c r="G2" s="898"/>
      <c r="H2" s="899" t="s">
        <v>395</v>
      </c>
      <c r="I2" s="899"/>
      <c r="J2" s="899"/>
      <c r="K2" s="899"/>
      <c r="L2" s="899"/>
      <c r="M2" s="899"/>
      <c r="N2" s="900" t="s">
        <v>65</v>
      </c>
      <c r="O2" s="900"/>
    </row>
    <row r="3" spans="1:18" ht="30.2" customHeight="1">
      <c r="A3" s="920" t="s">
        <v>48</v>
      </c>
      <c r="B3" s="922" t="s">
        <v>49</v>
      </c>
      <c r="C3" s="924" t="s">
        <v>84</v>
      </c>
      <c r="D3" s="925"/>
      <c r="E3" s="925"/>
      <c r="F3" s="925"/>
      <c r="G3" s="930"/>
      <c r="H3" s="925"/>
      <c r="I3" s="926"/>
      <c r="J3" s="924" t="s">
        <v>67</v>
      </c>
      <c r="K3" s="925"/>
      <c r="L3" s="925"/>
      <c r="M3" s="928" t="s">
        <v>68</v>
      </c>
      <c r="N3" s="928"/>
      <c r="O3" s="924"/>
    </row>
    <row r="4" spans="1:18" ht="33">
      <c r="A4" s="921"/>
      <c r="B4" s="923"/>
      <c r="C4" s="712" t="s">
        <v>58</v>
      </c>
      <c r="D4" s="712" t="s">
        <v>463</v>
      </c>
      <c r="E4" s="712" t="s">
        <v>464</v>
      </c>
      <c r="F4" s="713" t="s">
        <v>97</v>
      </c>
      <c r="G4" s="745" t="s">
        <v>85</v>
      </c>
      <c r="H4" s="746" t="s">
        <v>983</v>
      </c>
      <c r="I4" s="713" t="s">
        <v>996</v>
      </c>
      <c r="J4" s="712" t="s">
        <v>58</v>
      </c>
      <c r="K4" s="712" t="s">
        <v>10</v>
      </c>
      <c r="L4" s="713" t="s">
        <v>347</v>
      </c>
      <c r="M4" s="712" t="s">
        <v>58</v>
      </c>
      <c r="N4" s="713" t="s">
        <v>77</v>
      </c>
      <c r="O4" s="747" t="s">
        <v>78</v>
      </c>
      <c r="P4" s="724" t="s">
        <v>423</v>
      </c>
    </row>
    <row r="5" spans="1:18" ht="61.15" hidden="1" customHeight="1">
      <c r="A5" s="715" t="s">
        <v>2</v>
      </c>
      <c r="B5" s="741">
        <f t="shared" ref="B5:B9" si="0">C5+J5+M5</f>
        <v>6365157</v>
      </c>
      <c r="C5" s="742">
        <f>D5+E5+F5+G5+H5+I5</f>
        <v>6243275</v>
      </c>
      <c r="D5" s="742">
        <v>1060332</v>
      </c>
      <c r="E5" s="742">
        <v>4807946</v>
      </c>
      <c r="F5" s="742">
        <v>347791</v>
      </c>
      <c r="G5" s="742">
        <v>4903</v>
      </c>
      <c r="H5" s="742">
        <v>4710</v>
      </c>
      <c r="I5" s="742">
        <v>17593</v>
      </c>
      <c r="J5" s="742">
        <f>K5+L5</f>
        <v>110544</v>
      </c>
      <c r="K5" s="743">
        <v>39465</v>
      </c>
      <c r="L5" s="743">
        <v>71079</v>
      </c>
      <c r="M5" s="742">
        <f>N5+O5</f>
        <v>11338</v>
      </c>
      <c r="N5" s="742">
        <v>8302</v>
      </c>
      <c r="O5" s="742">
        <v>3036</v>
      </c>
      <c r="P5" s="730"/>
    </row>
    <row r="6" spans="1:18" ht="61.15" customHeight="1">
      <c r="A6" s="715" t="s">
        <v>3</v>
      </c>
      <c r="B6" s="742">
        <f t="shared" si="0"/>
        <v>7732868</v>
      </c>
      <c r="C6" s="742">
        <f>D6+E6+F6+G6+H6+I6</f>
        <v>7584739</v>
      </c>
      <c r="D6" s="742">
        <v>1548178</v>
      </c>
      <c r="E6" s="742">
        <v>5551002</v>
      </c>
      <c r="F6" s="742">
        <v>457616</v>
      </c>
      <c r="G6" s="742">
        <v>4499</v>
      </c>
      <c r="H6" s="742">
        <v>1246</v>
      </c>
      <c r="I6" s="742">
        <v>22198</v>
      </c>
      <c r="J6" s="742">
        <f>K6+L6</f>
        <v>117277</v>
      </c>
      <c r="K6" s="743">
        <v>38776</v>
      </c>
      <c r="L6" s="743">
        <v>78501</v>
      </c>
      <c r="M6" s="742">
        <f>N6+O6</f>
        <v>30852</v>
      </c>
      <c r="N6" s="742">
        <v>26588</v>
      </c>
      <c r="O6" s="742">
        <v>4264</v>
      </c>
      <c r="P6" s="738">
        <f>SUM(B6:O14)-SUM('[2]47支出(軍)-OK'!$B$6:$O$14)</f>
        <v>0</v>
      </c>
    </row>
    <row r="7" spans="1:18" ht="61.15" customHeight="1">
      <c r="A7" s="715" t="s">
        <v>4</v>
      </c>
      <c r="B7" s="741">
        <f t="shared" si="0"/>
        <v>9870832</v>
      </c>
      <c r="C7" s="742">
        <f t="shared" ref="C7:C11" si="1">SUM(D7:I7)</f>
        <v>9709854</v>
      </c>
      <c r="D7" s="742">
        <v>2701573</v>
      </c>
      <c r="E7" s="742">
        <v>6546124</v>
      </c>
      <c r="F7" s="742">
        <v>425269</v>
      </c>
      <c r="G7" s="742">
        <v>5770</v>
      </c>
      <c r="H7" s="742">
        <v>2587</v>
      </c>
      <c r="I7" s="742">
        <v>28531</v>
      </c>
      <c r="J7" s="742">
        <f t="shared" ref="J7:J12" si="2">SUM(K7:L7)</f>
        <v>126398</v>
      </c>
      <c r="K7" s="743">
        <v>40606</v>
      </c>
      <c r="L7" s="743">
        <v>85792</v>
      </c>
      <c r="M7" s="742">
        <f t="shared" ref="M7:M11" si="3">SUM(N7:O7)</f>
        <v>34580</v>
      </c>
      <c r="N7" s="742">
        <v>31030</v>
      </c>
      <c r="O7" s="742">
        <v>3550</v>
      </c>
      <c r="P7" s="730"/>
    </row>
    <row r="8" spans="1:18" ht="61.15" customHeight="1">
      <c r="A8" s="715" t="s">
        <v>5</v>
      </c>
      <c r="B8" s="742">
        <f t="shared" si="0"/>
        <v>11566206</v>
      </c>
      <c r="C8" s="742">
        <f t="shared" si="1"/>
        <v>11401119</v>
      </c>
      <c r="D8" s="742">
        <v>3221671</v>
      </c>
      <c r="E8" s="742">
        <v>7669989</v>
      </c>
      <c r="F8" s="742">
        <v>467716</v>
      </c>
      <c r="G8" s="742">
        <v>6311</v>
      </c>
      <c r="H8" s="742">
        <v>1250</v>
      </c>
      <c r="I8" s="742">
        <v>34182</v>
      </c>
      <c r="J8" s="742">
        <f t="shared" si="2"/>
        <v>140860</v>
      </c>
      <c r="K8" s="743">
        <v>45052</v>
      </c>
      <c r="L8" s="743">
        <v>95808</v>
      </c>
      <c r="M8" s="742">
        <f t="shared" si="3"/>
        <v>24227</v>
      </c>
      <c r="N8" s="742">
        <v>20147</v>
      </c>
      <c r="O8" s="742">
        <v>4080</v>
      </c>
      <c r="P8" s="730"/>
    </row>
    <row r="9" spans="1:18" ht="61.15" customHeight="1">
      <c r="A9" s="715" t="s">
        <v>6</v>
      </c>
      <c r="B9" s="741">
        <f t="shared" si="0"/>
        <v>13622218</v>
      </c>
      <c r="C9" s="742">
        <f t="shared" si="1"/>
        <v>13473071</v>
      </c>
      <c r="D9" s="742">
        <v>3925368</v>
      </c>
      <c r="E9" s="742">
        <v>8916841</v>
      </c>
      <c r="F9" s="742">
        <v>582223</v>
      </c>
      <c r="G9" s="742">
        <v>6660</v>
      </c>
      <c r="H9" s="742">
        <v>1696</v>
      </c>
      <c r="I9" s="742">
        <v>40283</v>
      </c>
      <c r="J9" s="742">
        <f t="shared" si="2"/>
        <v>131577</v>
      </c>
      <c r="K9" s="742">
        <v>30124</v>
      </c>
      <c r="L9" s="742">
        <v>101453</v>
      </c>
      <c r="M9" s="742">
        <f t="shared" si="3"/>
        <v>17570</v>
      </c>
      <c r="N9" s="742">
        <v>15526</v>
      </c>
      <c r="O9" s="742">
        <v>2044</v>
      </c>
      <c r="P9" s="730"/>
    </row>
    <row r="10" spans="1:18" ht="61.15" customHeight="1">
      <c r="A10" s="715" t="s">
        <v>1035</v>
      </c>
      <c r="B10" s="741">
        <f>C10+J10+M10</f>
        <v>13590001</v>
      </c>
      <c r="C10" s="742">
        <f t="shared" si="1"/>
        <v>13430100</v>
      </c>
      <c r="D10" s="742">
        <v>2919958</v>
      </c>
      <c r="E10" s="742">
        <v>10056670</v>
      </c>
      <c r="F10" s="742">
        <v>396872</v>
      </c>
      <c r="G10" s="742">
        <v>6960</v>
      </c>
      <c r="H10" s="742">
        <v>981</v>
      </c>
      <c r="I10" s="742">
        <v>48659</v>
      </c>
      <c r="J10" s="742">
        <f t="shared" si="2"/>
        <v>140158</v>
      </c>
      <c r="K10" s="742">
        <v>34269</v>
      </c>
      <c r="L10" s="742">
        <v>105889</v>
      </c>
      <c r="M10" s="742">
        <f t="shared" si="3"/>
        <v>19743</v>
      </c>
      <c r="N10" s="742">
        <v>13338</v>
      </c>
      <c r="O10" s="742">
        <v>6405</v>
      </c>
      <c r="P10" s="730"/>
    </row>
    <row r="11" spans="1:18" ht="61.15" customHeight="1">
      <c r="A11" s="715" t="s">
        <v>1036</v>
      </c>
      <c r="B11" s="741">
        <f>C11+J11+M11</f>
        <v>14492409</v>
      </c>
      <c r="C11" s="742">
        <f t="shared" si="1"/>
        <v>14319381</v>
      </c>
      <c r="D11" s="742">
        <v>2551945</v>
      </c>
      <c r="E11" s="742">
        <v>11180693</v>
      </c>
      <c r="F11" s="742">
        <v>520404</v>
      </c>
      <c r="G11" s="742">
        <v>6979</v>
      </c>
      <c r="H11" s="742">
        <v>2114</v>
      </c>
      <c r="I11" s="742">
        <v>57246</v>
      </c>
      <c r="J11" s="742">
        <f t="shared" si="2"/>
        <v>147505</v>
      </c>
      <c r="K11" s="742">
        <v>36429</v>
      </c>
      <c r="L11" s="742">
        <v>111076</v>
      </c>
      <c r="M11" s="742">
        <f t="shared" si="3"/>
        <v>25523</v>
      </c>
      <c r="N11" s="742">
        <v>20077</v>
      </c>
      <c r="O11" s="742">
        <v>5446</v>
      </c>
      <c r="P11" s="730"/>
    </row>
    <row r="12" spans="1:18" ht="61.15" customHeight="1">
      <c r="A12" s="715" t="s">
        <v>99</v>
      </c>
      <c r="B12" s="741">
        <f t="shared" ref="B12" si="4">C12+J12+M12</f>
        <v>15974322</v>
      </c>
      <c r="C12" s="742">
        <v>15762322</v>
      </c>
      <c r="D12" s="742">
        <v>2686266</v>
      </c>
      <c r="E12" s="742">
        <v>12513806</v>
      </c>
      <c r="F12" s="742">
        <v>483771</v>
      </c>
      <c r="G12" s="742">
        <v>6961</v>
      </c>
      <c r="H12" s="742">
        <v>4399</v>
      </c>
      <c r="I12" s="742">
        <v>67118</v>
      </c>
      <c r="J12" s="742">
        <f t="shared" si="2"/>
        <v>164862</v>
      </c>
      <c r="K12" s="742">
        <v>46272</v>
      </c>
      <c r="L12" s="742">
        <v>118590</v>
      </c>
      <c r="M12" s="742">
        <v>47138</v>
      </c>
      <c r="N12" s="742">
        <v>42453</v>
      </c>
      <c r="O12" s="742">
        <v>4684</v>
      </c>
      <c r="P12" s="730"/>
    </row>
    <row r="13" spans="1:18" ht="61.15" customHeight="1">
      <c r="A13" s="715" t="s">
        <v>1037</v>
      </c>
      <c r="B13" s="741">
        <v>17434626</v>
      </c>
      <c r="C13" s="742">
        <v>17228280</v>
      </c>
      <c r="D13" s="742">
        <v>3082470</v>
      </c>
      <c r="E13" s="742">
        <v>13789150</v>
      </c>
      <c r="F13" s="742">
        <v>261138</v>
      </c>
      <c r="G13" s="742">
        <v>6958</v>
      </c>
      <c r="H13" s="742">
        <v>8352</v>
      </c>
      <c r="I13" s="742">
        <v>80212</v>
      </c>
      <c r="J13" s="742">
        <v>155737</v>
      </c>
      <c r="K13" s="742">
        <v>32078</v>
      </c>
      <c r="L13" s="742">
        <v>123659</v>
      </c>
      <c r="M13" s="742">
        <v>50609</v>
      </c>
      <c r="N13" s="742">
        <v>48044</v>
      </c>
      <c r="O13" s="742">
        <v>2565</v>
      </c>
      <c r="P13" s="730"/>
    </row>
    <row r="14" spans="1:18" ht="61.15" customHeight="1">
      <c r="A14" s="715" t="s">
        <v>1038</v>
      </c>
      <c r="B14" s="741">
        <v>14123542</v>
      </c>
      <c r="C14" s="742">
        <v>13903503</v>
      </c>
      <c r="D14" s="742">
        <v>1222201</v>
      </c>
      <c r="E14" s="742">
        <v>12489589</v>
      </c>
      <c r="F14" s="742">
        <v>79690</v>
      </c>
      <c r="G14" s="742">
        <v>7438</v>
      </c>
      <c r="H14" s="742">
        <v>5792</v>
      </c>
      <c r="I14" s="742">
        <v>98792</v>
      </c>
      <c r="J14" s="742">
        <v>179924</v>
      </c>
      <c r="K14" s="742">
        <v>47131</v>
      </c>
      <c r="L14" s="742">
        <v>132793</v>
      </c>
      <c r="M14" s="742">
        <v>40115</v>
      </c>
      <c r="N14" s="742">
        <v>38007</v>
      </c>
      <c r="O14" s="742">
        <v>2108</v>
      </c>
      <c r="P14" s="730"/>
    </row>
    <row r="15" spans="1:18" ht="61.15" customHeight="1">
      <c r="A15" s="739" t="s">
        <v>1039</v>
      </c>
      <c r="B15" s="744">
        <v>10788662</v>
      </c>
      <c r="C15" s="744">
        <v>10562782</v>
      </c>
      <c r="D15" s="744">
        <v>51771</v>
      </c>
      <c r="E15" s="744">
        <v>10349084</v>
      </c>
      <c r="F15" s="744">
        <v>34076</v>
      </c>
      <c r="G15" s="744">
        <v>7394</v>
      </c>
      <c r="H15" s="744">
        <v>7538</v>
      </c>
      <c r="I15" s="744">
        <v>112919</v>
      </c>
      <c r="J15" s="744">
        <v>174621</v>
      </c>
      <c r="K15" s="744">
        <v>37117</v>
      </c>
      <c r="L15" s="744">
        <v>137505</v>
      </c>
      <c r="M15" s="744">
        <v>51259</v>
      </c>
      <c r="N15" s="744">
        <v>49306</v>
      </c>
      <c r="O15" s="744">
        <v>1953</v>
      </c>
      <c r="P15" s="730"/>
    </row>
    <row r="16" spans="1:18" ht="31.5" customHeight="1">
      <c r="A16" s="901" t="s">
        <v>1044</v>
      </c>
      <c r="B16" s="901"/>
      <c r="C16" s="901"/>
      <c r="D16" s="901"/>
      <c r="E16" s="901"/>
      <c r="F16" s="901"/>
      <c r="G16" s="901"/>
      <c r="H16" s="901"/>
      <c r="I16" s="901"/>
      <c r="J16" s="901"/>
      <c r="K16" s="901"/>
      <c r="L16" s="901"/>
      <c r="M16" s="132"/>
      <c r="N16" s="132"/>
      <c r="O16" s="132"/>
      <c r="P16" s="132"/>
      <c r="Q16" s="132"/>
      <c r="R16" s="133"/>
    </row>
    <row r="17" spans="1:3" ht="36" customHeight="1">
      <c r="A17" s="724" t="s">
        <v>1045</v>
      </c>
      <c r="B17" s="136">
        <f>SUM(B5:O13)-SUM('[1]47支出(軍) '!$B$6:$O$14)</f>
        <v>0</v>
      </c>
    </row>
    <row r="28" spans="1:3" ht="36" customHeight="1">
      <c r="B28" s="141"/>
      <c r="C28" s="141"/>
    </row>
  </sheetData>
  <mergeCells count="11">
    <mergeCell ref="A16:L16"/>
    <mergeCell ref="A1:G1"/>
    <mergeCell ref="H1:O1"/>
    <mergeCell ref="A2:G2"/>
    <mergeCell ref="H2:M2"/>
    <mergeCell ref="N2:O2"/>
    <mergeCell ref="A3:A4"/>
    <mergeCell ref="B3:B4"/>
    <mergeCell ref="C3:I3"/>
    <mergeCell ref="J3:L3"/>
    <mergeCell ref="M3:O3"/>
  </mergeCells>
  <phoneticPr fontId="3" type="noConversion"/>
  <pageMargins left="0.47244094488188981" right="0" top="0.59055118110236227" bottom="0.51181102362204722" header="0" footer="0"/>
  <pageSetup paperSize="9" scale="94" fitToWidth="0" fitToHeight="0" orientation="portrait" r:id="rId1"/>
  <headerFooter alignWithMargins="0"/>
  <colBreaks count="1" manualBreakCount="1">
    <brk id="7" max="14" man="1"/>
  </colBreaks>
  <legacyDrawing r:id="rId2"/>
</worksheet>
</file>

<file path=xl/worksheets/sheet5.xml><?xml version="1.0" encoding="utf-8"?>
<worksheet xmlns="http://schemas.openxmlformats.org/spreadsheetml/2006/main" xmlns:r="http://schemas.openxmlformats.org/officeDocument/2006/relationships">
  <sheetPr>
    <tabColor indexed="13"/>
  </sheetPr>
  <dimension ref="A1:R18"/>
  <sheetViews>
    <sheetView view="pageBreakPreview" zoomScale="90" zoomScaleNormal="90" zoomScaleSheetLayoutView="90" workbookViewId="0">
      <pane xSplit="1" ySplit="4" topLeftCell="B14" activePane="bottomRight" state="frozen"/>
      <selection activeCell="C21" sqref="C21:D21"/>
      <selection pane="topRight" activeCell="C21" sqref="C21:D21"/>
      <selection pane="bottomLeft" activeCell="C21" sqref="C21:D21"/>
      <selection pane="bottomRight" activeCell="J20" sqref="J20"/>
    </sheetView>
  </sheetViews>
  <sheetFormatPr defaultColWidth="6.5" defaultRowHeight="74.25" customHeight="1"/>
  <cols>
    <col min="1" max="1" width="6.875" style="14" customWidth="1"/>
    <col min="2" max="3" width="10.625" style="1" customWidth="1"/>
    <col min="4" max="4" width="14.125" style="1" customWidth="1"/>
    <col min="5" max="5" width="13.125" style="1" customWidth="1"/>
    <col min="6" max="6" width="19.125" style="1" customWidth="1"/>
    <col min="7" max="7" width="8.875" style="1" customWidth="1"/>
    <col min="8" max="8" width="10.75" style="1" bestFit="1" customWidth="1"/>
    <col min="9" max="9" width="9.625" style="1" bestFit="1" customWidth="1"/>
    <col min="10" max="16384" width="6.5" style="1"/>
  </cols>
  <sheetData>
    <row r="1" spans="1:18" ht="33" customHeight="1">
      <c r="A1" s="778" t="s">
        <v>220</v>
      </c>
      <c r="B1" s="778"/>
      <c r="C1" s="778"/>
      <c r="D1" s="778"/>
      <c r="E1" s="778"/>
      <c r="F1" s="778"/>
      <c r="G1" s="778"/>
    </row>
    <row r="2" spans="1:18" s="2" customFormat="1" ht="33" customHeight="1">
      <c r="A2" s="792" t="s">
        <v>390</v>
      </c>
      <c r="B2" s="792"/>
      <c r="C2" s="792"/>
      <c r="D2" s="792"/>
      <c r="E2" s="792"/>
      <c r="F2" s="792"/>
      <c r="G2" s="115" t="s">
        <v>221</v>
      </c>
    </row>
    <row r="3" spans="1:18" s="2" customFormat="1" ht="39.200000000000003" customHeight="1">
      <c r="A3" s="793" t="s">
        <v>222</v>
      </c>
      <c r="B3" s="794" t="s">
        <v>223</v>
      </c>
      <c r="C3" s="795" t="s">
        <v>224</v>
      </c>
      <c r="D3" s="795"/>
      <c r="E3" s="795"/>
      <c r="F3" s="795"/>
      <c r="G3" s="796" t="s">
        <v>225</v>
      </c>
      <c r="H3" s="3"/>
    </row>
    <row r="4" spans="1:18" s="2" customFormat="1" ht="39.200000000000003" customHeight="1">
      <c r="A4" s="793"/>
      <c r="B4" s="794"/>
      <c r="C4" s="100" t="s">
        <v>226</v>
      </c>
      <c r="D4" s="99" t="s">
        <v>227</v>
      </c>
      <c r="E4" s="99" t="s">
        <v>228</v>
      </c>
      <c r="F4" s="99" t="s">
        <v>229</v>
      </c>
      <c r="G4" s="796"/>
      <c r="H4" s="3"/>
      <c r="I4" s="61" t="s">
        <v>359</v>
      </c>
      <c r="J4" s="61" t="s">
        <v>423</v>
      </c>
    </row>
    <row r="5" spans="1:18" s="6" customFormat="1" ht="55.35" customHeight="1">
      <c r="A5" s="4" t="s">
        <v>230</v>
      </c>
      <c r="B5" s="5">
        <f t="shared" ref="B5:B11" si="0">C5+G5</f>
        <v>263890</v>
      </c>
      <c r="C5" s="5">
        <f t="shared" ref="C5:C11" si="1">SUM(D5:F5)</f>
        <v>263418</v>
      </c>
      <c r="D5" s="5">
        <f>SUM(D7:D16)</f>
        <v>91931</v>
      </c>
      <c r="E5" s="5">
        <f>SUM(E7:E16)</f>
        <v>170368</v>
      </c>
      <c r="F5" s="5">
        <f>SUM(F7:F16)</f>
        <v>1119</v>
      </c>
      <c r="G5" s="5">
        <f>SUM(G7:G16)</f>
        <v>472</v>
      </c>
      <c r="H5" s="116">
        <f>B5-'6歷年退離(政)-OK'!C6-'7歷年退離(公)-OK'!C6-'7歷年退離(公)-OK'!G6-'8歷年退離(教)-OK'!C6-'8歷年退離(教)-OK'!G6-'9歷年退離(軍)-OK'!C6</f>
        <v>0</v>
      </c>
      <c r="I5" s="37">
        <f>SUM(B6:G14)-SUM('[1]3歷年退休'!$B$7:$G$15)</f>
        <v>0</v>
      </c>
      <c r="J5" s="37">
        <f>B5-B16+'[4]3歷年退休-OK'!B6-'[4]3歷年退休-OK'!B5</f>
        <v>0</v>
      </c>
      <c r="K5" s="37">
        <f>C5-C16+'[4]3歷年退休-OK'!C6-'[4]3歷年退休-OK'!C5</f>
        <v>0</v>
      </c>
      <c r="L5" s="37">
        <f>D5-D16+'[4]3歷年退休-OK'!D6-'[4]3歷年退休-OK'!D5</f>
        <v>0</v>
      </c>
      <c r="M5" s="37">
        <f>E5-E16+'[4]3歷年退休-OK'!E6-'[4]3歷年退休-OK'!E5</f>
        <v>0</v>
      </c>
      <c r="N5" s="37">
        <f>F5-F16+'[4]3歷年退休-OK'!F6-'[4]3歷年退休-OK'!F5</f>
        <v>0</v>
      </c>
      <c r="O5" s="37">
        <f>G5-G16+'[4]3歷年退休-OK'!G6-'[4]3歷年退休-OK'!G5</f>
        <v>0</v>
      </c>
      <c r="P5" s="37">
        <f>H5-H16+'[4]3歷年退休-OK'!H6-'[4]3歷年退休-OK'!H5</f>
        <v>0</v>
      </c>
      <c r="Q5" s="37">
        <f>I5-I16+'[4]3歷年退休-OK'!I6-'[4]3歷年退休-OK'!I5</f>
        <v>0</v>
      </c>
      <c r="R5" s="37">
        <f>J5-J16+'[4]3歷年退休-OK'!J6-'[4]3歷年退休-OK'!J5</f>
        <v>0</v>
      </c>
    </row>
    <row r="6" spans="1:18" s="8" customFormat="1" ht="55.35" hidden="1" customHeight="1">
      <c r="A6" s="114" t="s">
        <v>2</v>
      </c>
      <c r="B6" s="5">
        <f t="shared" si="0"/>
        <v>16455</v>
      </c>
      <c r="C6" s="5">
        <f t="shared" si="1"/>
        <v>16377</v>
      </c>
      <c r="D6" s="9">
        <v>2641</v>
      </c>
      <c r="E6" s="9">
        <f>13486+2</f>
        <v>13488</v>
      </c>
      <c r="F6" s="9">
        <v>248</v>
      </c>
      <c r="G6" s="9">
        <v>78</v>
      </c>
      <c r="H6" s="89"/>
      <c r="I6" s="89"/>
      <c r="J6" s="89"/>
      <c r="K6" s="89"/>
      <c r="L6" s="89"/>
      <c r="M6" s="89"/>
    </row>
    <row r="7" spans="1:18" s="8" customFormat="1" ht="55.35" customHeight="1">
      <c r="A7" s="114" t="s">
        <v>3</v>
      </c>
      <c r="B7" s="5">
        <f t="shared" si="0"/>
        <v>21474</v>
      </c>
      <c r="C7" s="5">
        <f t="shared" si="1"/>
        <v>21397</v>
      </c>
      <c r="D7" s="9">
        <v>4428</v>
      </c>
      <c r="E7" s="9">
        <f>16762+5</f>
        <v>16767</v>
      </c>
      <c r="F7" s="9">
        <v>202</v>
      </c>
      <c r="G7" s="9">
        <v>77</v>
      </c>
      <c r="H7" s="89"/>
      <c r="I7" s="89"/>
      <c r="J7" s="89">
        <f>B7-'[4]3歷年退休-OK'!B7</f>
        <v>0</v>
      </c>
      <c r="K7" s="89">
        <f>C7-'[4]3歷年退休-OK'!C7</f>
        <v>0</v>
      </c>
      <c r="L7" s="89">
        <f>D7-'[4]3歷年退休-OK'!D7</f>
        <v>0</v>
      </c>
      <c r="M7" s="89">
        <f>E7-'[4]3歷年退休-OK'!E7</f>
        <v>0</v>
      </c>
      <c r="N7" s="89">
        <f>F7-'[4]3歷年退休-OK'!F7</f>
        <v>0</v>
      </c>
      <c r="O7" s="89">
        <f>G7-'[4]3歷年退休-OK'!G7</f>
        <v>0</v>
      </c>
      <c r="P7" s="89">
        <f>H7-'[4]3歷年退休-OK'!H7</f>
        <v>0</v>
      </c>
      <c r="Q7" s="89">
        <f>I7-'[4]3歷年退休-OK'!I7</f>
        <v>0</v>
      </c>
      <c r="R7" s="89">
        <f>J7-'[4]3歷年退休-OK'!J7</f>
        <v>0</v>
      </c>
    </row>
    <row r="8" spans="1:18" s="8" customFormat="1" ht="55.35" customHeight="1">
      <c r="A8" s="114" t="s">
        <v>4</v>
      </c>
      <c r="B8" s="5">
        <f t="shared" si="0"/>
        <v>29083</v>
      </c>
      <c r="C8" s="5">
        <f t="shared" si="1"/>
        <v>29020</v>
      </c>
      <c r="D8" s="9">
        <v>9938</v>
      </c>
      <c r="E8" s="9">
        <f>18952+8</f>
        <v>18960</v>
      </c>
      <c r="F8" s="9">
        <v>122</v>
      </c>
      <c r="G8" s="9">
        <v>63</v>
      </c>
      <c r="H8" s="89"/>
      <c r="I8" s="89"/>
      <c r="J8" s="89">
        <f>B8-'[4]3歷年退休-OK'!B8</f>
        <v>0</v>
      </c>
      <c r="K8" s="89">
        <f>C8-'[4]3歷年退休-OK'!C8</f>
        <v>0</v>
      </c>
      <c r="L8" s="89">
        <f>D8-'[4]3歷年退休-OK'!D8</f>
        <v>0</v>
      </c>
      <c r="M8" s="89">
        <f>E8-'[4]3歷年退休-OK'!E8</f>
        <v>0</v>
      </c>
      <c r="N8" s="89">
        <f>F8-'[4]3歷年退休-OK'!F8</f>
        <v>0</v>
      </c>
      <c r="O8" s="89">
        <f>G8-'[4]3歷年退休-OK'!G8</f>
        <v>0</v>
      </c>
      <c r="P8" s="89">
        <f>H8-'[4]3歷年退休-OK'!H8</f>
        <v>0</v>
      </c>
      <c r="Q8" s="89">
        <f>I8-'[4]3歷年退休-OK'!I8</f>
        <v>0</v>
      </c>
      <c r="R8" s="89">
        <f>J8-'[4]3歷年退休-OK'!J8</f>
        <v>0</v>
      </c>
    </row>
    <row r="9" spans="1:18" s="8" customFormat="1" ht="55.35" customHeight="1">
      <c r="A9" s="114" t="s">
        <v>5</v>
      </c>
      <c r="B9" s="5">
        <f t="shared" si="0"/>
        <v>31389</v>
      </c>
      <c r="C9" s="5">
        <f t="shared" si="1"/>
        <v>31330</v>
      </c>
      <c r="D9" s="9">
        <v>11638</v>
      </c>
      <c r="E9" s="9">
        <v>19559</v>
      </c>
      <c r="F9" s="9">
        <v>133</v>
      </c>
      <c r="G9" s="9">
        <v>59</v>
      </c>
      <c r="J9" s="89">
        <f>B9-'[4]3歷年退休-OK'!B9</f>
        <v>0</v>
      </c>
      <c r="K9" s="89">
        <f>C9-'[4]3歷年退休-OK'!C9</f>
        <v>0</v>
      </c>
      <c r="L9" s="89">
        <f>D9-'[4]3歷年退休-OK'!D9</f>
        <v>0</v>
      </c>
      <c r="M9" s="89">
        <f>E9-'[4]3歷年退休-OK'!E9</f>
        <v>0</v>
      </c>
      <c r="N9" s="89">
        <f>F9-'[4]3歷年退休-OK'!F9</f>
        <v>0</v>
      </c>
      <c r="O9" s="89">
        <f>G9-'[4]3歷年退休-OK'!G9</f>
        <v>0</v>
      </c>
      <c r="P9" s="89">
        <f>H9-'[4]3歷年退休-OK'!H9</f>
        <v>0</v>
      </c>
      <c r="Q9" s="89">
        <f>I9-'[4]3歷年退休-OK'!I9</f>
        <v>0</v>
      </c>
      <c r="R9" s="89">
        <f>J9-'[4]3歷年退休-OK'!J9</f>
        <v>0</v>
      </c>
    </row>
    <row r="10" spans="1:18" s="8" customFormat="1" ht="55.35" customHeight="1">
      <c r="A10" s="114" t="s">
        <v>6</v>
      </c>
      <c r="B10" s="5">
        <f t="shared" si="0"/>
        <v>32155</v>
      </c>
      <c r="C10" s="5">
        <f t="shared" si="1"/>
        <v>32107</v>
      </c>
      <c r="D10" s="9">
        <v>13122</v>
      </c>
      <c r="E10" s="9">
        <v>18867</v>
      </c>
      <c r="F10" s="9">
        <v>118</v>
      </c>
      <c r="G10" s="9">
        <v>48</v>
      </c>
      <c r="J10" s="89">
        <f>B10-'[4]3歷年退休-OK'!B10</f>
        <v>0</v>
      </c>
      <c r="K10" s="89">
        <f>C10-'[4]3歷年退休-OK'!C10</f>
        <v>0</v>
      </c>
      <c r="L10" s="89">
        <f>D10-'[4]3歷年退休-OK'!D10</f>
        <v>0</v>
      </c>
      <c r="M10" s="89">
        <f>E10-'[4]3歷年退休-OK'!E10</f>
        <v>0</v>
      </c>
      <c r="N10" s="89">
        <f>F10-'[4]3歷年退休-OK'!F10</f>
        <v>0</v>
      </c>
      <c r="O10" s="89">
        <f>G10-'[4]3歷年退休-OK'!G10</f>
        <v>0</v>
      </c>
      <c r="P10" s="89">
        <f>H10-'[4]3歷年退休-OK'!H10</f>
        <v>0</v>
      </c>
      <c r="Q10" s="89">
        <f>I10-'[4]3歷年退休-OK'!I10</f>
        <v>0</v>
      </c>
      <c r="R10" s="89">
        <f>J10-'[4]3歷年退休-OK'!J10</f>
        <v>0</v>
      </c>
    </row>
    <row r="11" spans="1:18" s="8" customFormat="1" ht="55.35" customHeight="1">
      <c r="A11" s="114" t="s">
        <v>7</v>
      </c>
      <c r="B11" s="5">
        <f t="shared" si="0"/>
        <v>27034</v>
      </c>
      <c r="C11" s="5">
        <f t="shared" si="1"/>
        <v>26990</v>
      </c>
      <c r="D11" s="9">
        <v>9675</v>
      </c>
      <c r="E11" s="9">
        <v>17207</v>
      </c>
      <c r="F11" s="9">
        <v>108</v>
      </c>
      <c r="G11" s="9">
        <v>44</v>
      </c>
      <c r="J11" s="89">
        <f>B11-'[4]3歷年退休-OK'!B11</f>
        <v>0</v>
      </c>
      <c r="K11" s="89">
        <f>C11-'[4]3歷年退休-OK'!C11</f>
        <v>0</v>
      </c>
      <c r="L11" s="89">
        <f>D11-'[4]3歷年退休-OK'!D11</f>
        <v>0</v>
      </c>
      <c r="M11" s="89">
        <f>E11-'[4]3歷年退休-OK'!E11</f>
        <v>0</v>
      </c>
      <c r="N11" s="89">
        <f>F11-'[4]3歷年退休-OK'!F11</f>
        <v>0</v>
      </c>
      <c r="O11" s="89">
        <f>G11-'[4]3歷年退休-OK'!G11</f>
        <v>0</v>
      </c>
      <c r="P11" s="89">
        <f>H11-'[4]3歷年退休-OK'!H11</f>
        <v>0</v>
      </c>
      <c r="Q11" s="89">
        <f>I11-'[4]3歷年退休-OK'!I11</f>
        <v>0</v>
      </c>
      <c r="R11" s="89">
        <f>J11-'[4]3歷年退休-OK'!J11</f>
        <v>0</v>
      </c>
    </row>
    <row r="12" spans="1:18" s="8" customFormat="1" ht="55.35" customHeight="1">
      <c r="A12" s="114" t="s">
        <v>231</v>
      </c>
      <c r="B12" s="5">
        <f>C12+G12</f>
        <v>28597</v>
      </c>
      <c r="C12" s="5">
        <f>SUM(D12:F12)</f>
        <v>28554</v>
      </c>
      <c r="D12" s="9">
        <v>7008</v>
      </c>
      <c r="E12" s="9">
        <v>21440</v>
      </c>
      <c r="F12" s="9">
        <v>106</v>
      </c>
      <c r="G12" s="9">
        <v>43</v>
      </c>
      <c r="J12" s="89">
        <f>B12-'[4]3歷年退休-OK'!B12</f>
        <v>0</v>
      </c>
      <c r="K12" s="89">
        <f>C12-'[4]3歷年退休-OK'!C12</f>
        <v>0</v>
      </c>
      <c r="L12" s="89">
        <f>D12-'[4]3歷年退休-OK'!D12</f>
        <v>0</v>
      </c>
      <c r="M12" s="89">
        <f>E12-'[4]3歷年退休-OK'!E12</f>
        <v>0</v>
      </c>
      <c r="N12" s="89">
        <f>F12-'[4]3歷年退休-OK'!F12</f>
        <v>0</v>
      </c>
      <c r="O12" s="89">
        <f>G12-'[4]3歷年退休-OK'!G12</f>
        <v>0</v>
      </c>
      <c r="P12" s="89">
        <f>H12-'[4]3歷年退休-OK'!H12</f>
        <v>0</v>
      </c>
      <c r="Q12" s="89">
        <f>I12-'[4]3歷年退休-OK'!I12</f>
        <v>0</v>
      </c>
      <c r="R12" s="89">
        <f>J12-'[4]3歷年退休-OK'!J12</f>
        <v>0</v>
      </c>
    </row>
    <row r="13" spans="1:18" s="8" customFormat="1" ht="55.35" customHeight="1">
      <c r="A13" s="114" t="s">
        <v>232</v>
      </c>
      <c r="B13" s="5">
        <f>C13+G13</f>
        <v>27349</v>
      </c>
      <c r="C13" s="5">
        <f>SUM(D13:F13)</f>
        <v>27304</v>
      </c>
      <c r="D13" s="9">
        <v>7482</v>
      </c>
      <c r="E13" s="9">
        <v>19723</v>
      </c>
      <c r="F13" s="9">
        <v>99</v>
      </c>
      <c r="G13" s="9">
        <v>45</v>
      </c>
      <c r="J13" s="89">
        <f>B13-'[4]3歷年退休-OK'!B13</f>
        <v>0</v>
      </c>
      <c r="K13" s="89">
        <f>C13-'[4]3歷年退休-OK'!C13</f>
        <v>0</v>
      </c>
      <c r="L13" s="89">
        <f>D13-'[4]3歷年退休-OK'!D13</f>
        <v>0</v>
      </c>
      <c r="M13" s="89">
        <f>E13-'[4]3歷年退休-OK'!E13</f>
        <v>0</v>
      </c>
      <c r="N13" s="89">
        <f>F13-'[4]3歷年退休-OK'!F13</f>
        <v>0</v>
      </c>
      <c r="O13" s="89">
        <f>G13-'[4]3歷年退休-OK'!G13</f>
        <v>0</v>
      </c>
      <c r="P13" s="89">
        <f>H13-'[4]3歷年退休-OK'!H13</f>
        <v>0</v>
      </c>
      <c r="Q13" s="89">
        <f>I13-'[4]3歷年退休-OK'!I13</f>
        <v>0</v>
      </c>
      <c r="R13" s="89">
        <f>J13-'[4]3歷年退休-OK'!J13</f>
        <v>0</v>
      </c>
    </row>
    <row r="14" spans="1:18" s="8" customFormat="1" ht="55.35" customHeight="1">
      <c r="A14" s="114" t="s">
        <v>233</v>
      </c>
      <c r="B14" s="5">
        <f>C14+G14</f>
        <v>23327</v>
      </c>
      <c r="C14" s="5">
        <f>SUM(D14:F14)</f>
        <v>23277</v>
      </c>
      <c r="D14" s="9">
        <v>8903</v>
      </c>
      <c r="E14" s="9">
        <v>14274</v>
      </c>
      <c r="F14" s="9">
        <v>100</v>
      </c>
      <c r="G14" s="9">
        <v>50</v>
      </c>
      <c r="J14" s="89">
        <f>B14-'[4]3歷年退休-OK'!B14</f>
        <v>0</v>
      </c>
      <c r="K14" s="89">
        <f>C14-'[4]3歷年退休-OK'!C14</f>
        <v>0</v>
      </c>
      <c r="L14" s="89">
        <f>D14-'[4]3歷年退休-OK'!D14</f>
        <v>0</v>
      </c>
      <c r="M14" s="89">
        <f>E14-'[4]3歷年退休-OK'!E14</f>
        <v>0</v>
      </c>
      <c r="N14" s="89">
        <f>F14-'[4]3歷年退休-OK'!F14</f>
        <v>0</v>
      </c>
      <c r="O14" s="89">
        <f>G14-'[4]3歷年退休-OK'!G14</f>
        <v>0</v>
      </c>
      <c r="P14" s="89">
        <f>H14-'[4]3歷年退休-OK'!H14</f>
        <v>0</v>
      </c>
      <c r="Q14" s="89">
        <f>I14-'[4]3歷年退休-OK'!I14</f>
        <v>0</v>
      </c>
      <c r="R14" s="89">
        <f>J14-'[4]3歷年退休-OK'!J14</f>
        <v>0</v>
      </c>
    </row>
    <row r="15" spans="1:18" s="8" customFormat="1" ht="55.35" customHeight="1">
      <c r="A15" s="114" t="s">
        <v>391</v>
      </c>
      <c r="B15" s="5">
        <f>C15+G15</f>
        <v>20735</v>
      </c>
      <c r="C15" s="5">
        <f>SUM(D15:F15)</f>
        <v>20711</v>
      </c>
      <c r="D15" s="9">
        <v>9795</v>
      </c>
      <c r="E15" s="9">
        <v>10853</v>
      </c>
      <c r="F15" s="9">
        <v>63</v>
      </c>
      <c r="G15" s="9">
        <v>24</v>
      </c>
      <c r="J15" s="89">
        <f>B15-'[4]3歷年退休-OK'!B15</f>
        <v>0</v>
      </c>
      <c r="K15" s="89">
        <f>C15-'[4]3歷年退休-OK'!C15</f>
        <v>0</v>
      </c>
      <c r="L15" s="89">
        <f>D15-'[4]3歷年退休-OK'!D15</f>
        <v>0</v>
      </c>
      <c r="M15" s="89">
        <f>E15-'[4]3歷年退休-OK'!E15</f>
        <v>0</v>
      </c>
      <c r="N15" s="89">
        <f>F15-'[4]3歷年退休-OK'!F15</f>
        <v>0</v>
      </c>
      <c r="O15" s="89">
        <f>G15-'[4]3歷年退休-OK'!G15</f>
        <v>0</v>
      </c>
      <c r="P15" s="89">
        <f>H15-'[4]3歷年退休-OK'!H15</f>
        <v>0</v>
      </c>
      <c r="Q15" s="89">
        <f>I15-'[4]3歷年退休-OK'!I15</f>
        <v>0</v>
      </c>
      <c r="R15" s="89">
        <f>J15-'[4]3歷年退休-OK'!J15</f>
        <v>0</v>
      </c>
    </row>
    <row r="16" spans="1:18" s="8" customFormat="1" ht="55.35" customHeight="1">
      <c r="A16" s="114" t="s">
        <v>389</v>
      </c>
      <c r="B16" s="5">
        <v>22747</v>
      </c>
      <c r="C16" s="5">
        <v>22728</v>
      </c>
      <c r="D16" s="10">
        <v>9942</v>
      </c>
      <c r="E16" s="10">
        <v>12718</v>
      </c>
      <c r="F16" s="10">
        <v>68</v>
      </c>
      <c r="G16" s="10">
        <v>19</v>
      </c>
    </row>
    <row r="17" spans="1:7" s="6" customFormat="1" ht="21.2" customHeight="1">
      <c r="A17" s="11" t="s">
        <v>234</v>
      </c>
      <c r="B17" s="11"/>
      <c r="C17" s="11"/>
      <c r="D17" s="92"/>
      <c r="E17" s="92"/>
      <c r="F17" s="92"/>
      <c r="G17" s="92"/>
    </row>
    <row r="18" spans="1:7" ht="19.5" customHeight="1">
      <c r="A18" s="12">
        <v>107</v>
      </c>
      <c r="B18" s="143">
        <f>B15-'[2]3歷年退休-OK'!B15</f>
        <v>0</v>
      </c>
      <c r="C18" s="143">
        <f>C15-'[2]3歷年退休-OK'!C15</f>
        <v>0</v>
      </c>
      <c r="D18" s="143">
        <f>D15-'[2]3歷年退休-OK'!D15</f>
        <v>0</v>
      </c>
      <c r="E18" s="143">
        <f>E15-'[2]3歷年退休-OK'!E15</f>
        <v>0</v>
      </c>
      <c r="F18" s="143">
        <f>F15-'[2]3歷年退休-OK'!F15</f>
        <v>0</v>
      </c>
      <c r="G18" s="143">
        <f>G15-'[2]3歷年退休-OK'!G15</f>
        <v>0</v>
      </c>
    </row>
  </sheetData>
  <mergeCells count="6">
    <mergeCell ref="A1:G1"/>
    <mergeCell ref="A2:F2"/>
    <mergeCell ref="A3:A4"/>
    <mergeCell ref="B3:B4"/>
    <mergeCell ref="C3:F3"/>
    <mergeCell ref="G3:G4"/>
  </mergeCells>
  <phoneticPr fontId="3" type="noConversion"/>
  <pageMargins left="0.62992125984251968" right="0" top="0.59055118110236227" bottom="0.39" header="0" footer="0"/>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sheetPr>
    <tabColor rgb="FF00FF00"/>
    <pageSetUpPr fitToPage="1"/>
  </sheetPr>
  <dimension ref="A1:O23"/>
  <sheetViews>
    <sheetView view="pageBreakPreview" zoomScale="75" zoomScaleNormal="100" zoomScaleSheetLayoutView="75" workbookViewId="0">
      <pane ySplit="5" topLeftCell="A6" activePane="bottomLeft" state="frozen"/>
      <selection activeCell="E20" sqref="E20"/>
      <selection pane="bottomLeft" activeCell="E20" sqref="E20"/>
    </sheetView>
  </sheetViews>
  <sheetFormatPr defaultColWidth="11" defaultRowHeight="15.75"/>
  <cols>
    <col min="1" max="1" width="8" style="91" customWidth="1"/>
    <col min="2" max="2" width="8.375" style="91" bestFit="1" customWidth="1"/>
    <col min="3" max="3" width="14.5" style="91" customWidth="1"/>
    <col min="4" max="4" width="6.125" style="91" bestFit="1" customWidth="1"/>
    <col min="5" max="5" width="10.75" style="91" bestFit="1" customWidth="1"/>
    <col min="6" max="6" width="8.375" style="91" customWidth="1"/>
    <col min="7" max="7" width="14.5" style="91" customWidth="1"/>
    <col min="8" max="8" width="8.375" style="91" bestFit="1" customWidth="1"/>
    <col min="9" max="9" width="14.5" style="91" customWidth="1"/>
    <col min="10" max="10" width="7.5" style="91" customWidth="1"/>
    <col min="11" max="11" width="14.5" style="91" customWidth="1"/>
    <col min="12" max="12" width="4.75" style="91" customWidth="1"/>
    <col min="13" max="13" width="11.625" style="91" bestFit="1" customWidth="1"/>
    <col min="14" max="14" width="18.75" style="91" customWidth="1"/>
    <col min="15" max="15" width="20.125" style="91" bestFit="1" customWidth="1"/>
    <col min="16" max="16384" width="11" style="91"/>
  </cols>
  <sheetData>
    <row r="1" spans="1:13" s="84" customFormat="1" ht="33" customHeight="1">
      <c r="A1" s="931" t="s">
        <v>465</v>
      </c>
      <c r="B1" s="931"/>
      <c r="C1" s="931"/>
      <c r="D1" s="931"/>
      <c r="E1" s="931"/>
      <c r="F1" s="931"/>
      <c r="G1" s="931"/>
      <c r="H1" s="931"/>
      <c r="I1" s="931"/>
      <c r="J1" s="931"/>
      <c r="K1" s="931"/>
      <c r="L1" s="677"/>
    </row>
    <row r="2" spans="1:13" s="2" customFormat="1" ht="33" customHeight="1">
      <c r="A2" s="792" t="s">
        <v>472</v>
      </c>
      <c r="B2" s="792"/>
      <c r="C2" s="792"/>
      <c r="D2" s="792"/>
      <c r="E2" s="792"/>
      <c r="F2" s="792"/>
      <c r="G2" s="792"/>
      <c r="H2" s="792"/>
      <c r="I2" s="792"/>
      <c r="J2" s="883" t="s">
        <v>466</v>
      </c>
      <c r="K2" s="883"/>
      <c r="L2" s="50"/>
    </row>
    <row r="3" spans="1:13" s="1" customFormat="1" ht="39.75" customHeight="1">
      <c r="A3" s="782" t="s">
        <v>48</v>
      </c>
      <c r="B3" s="780" t="s">
        <v>349</v>
      </c>
      <c r="C3" s="781"/>
      <c r="D3" s="780" t="s">
        <v>43</v>
      </c>
      <c r="E3" s="781"/>
      <c r="F3" s="780" t="s">
        <v>44</v>
      </c>
      <c r="G3" s="781"/>
      <c r="H3" s="780" t="s">
        <v>45</v>
      </c>
      <c r="I3" s="781"/>
      <c r="J3" s="780" t="s">
        <v>46</v>
      </c>
      <c r="K3" s="781"/>
      <c r="L3" s="687"/>
    </row>
    <row r="4" spans="1:13" s="1" customFormat="1" ht="39.75" customHeight="1">
      <c r="A4" s="782"/>
      <c r="B4" s="162" t="s">
        <v>90</v>
      </c>
      <c r="C4" s="166" t="s">
        <v>91</v>
      </c>
      <c r="D4" s="162" t="s">
        <v>90</v>
      </c>
      <c r="E4" s="166" t="s">
        <v>91</v>
      </c>
      <c r="F4" s="162" t="s">
        <v>90</v>
      </c>
      <c r="G4" s="166" t="s">
        <v>91</v>
      </c>
      <c r="H4" s="162" t="s">
        <v>90</v>
      </c>
      <c r="I4" s="166" t="s">
        <v>91</v>
      </c>
      <c r="J4" s="162" t="s">
        <v>90</v>
      </c>
      <c r="K4" s="160" t="s">
        <v>91</v>
      </c>
      <c r="L4" s="688"/>
      <c r="M4" s="61" t="s">
        <v>423</v>
      </c>
    </row>
    <row r="5" spans="1:13" s="6" customFormat="1" ht="96.4" hidden="1" customHeight="1">
      <c r="A5" s="58" t="s">
        <v>53</v>
      </c>
      <c r="B5" s="87">
        <f t="shared" ref="B5:C8" si="0">D5+F5+H5+J5</f>
        <v>84214</v>
      </c>
      <c r="C5" s="193">
        <f t="shared" si="0"/>
        <v>6695290639</v>
      </c>
      <c r="D5" s="193">
        <v>152</v>
      </c>
      <c r="E5" s="193">
        <v>21037979</v>
      </c>
      <c r="F5" s="193">
        <v>31455</v>
      </c>
      <c r="G5" s="193">
        <v>2162844815</v>
      </c>
      <c r="H5" s="193">
        <v>37592</v>
      </c>
      <c r="I5" s="193">
        <v>3468276483</v>
      </c>
      <c r="J5" s="193">
        <v>15015</v>
      </c>
      <c r="K5" s="193">
        <v>1043131362</v>
      </c>
      <c r="L5" s="193"/>
    </row>
    <row r="6" spans="1:13" s="6" customFormat="1" ht="96.4" hidden="1" customHeight="1">
      <c r="A6" s="58" t="s">
        <v>60</v>
      </c>
      <c r="B6" s="193">
        <f t="shared" si="0"/>
        <v>102578</v>
      </c>
      <c r="C6" s="193">
        <f t="shared" si="0"/>
        <v>9401412234</v>
      </c>
      <c r="D6" s="193">
        <v>164</v>
      </c>
      <c r="E6" s="193">
        <v>24034160</v>
      </c>
      <c r="F6" s="193">
        <v>39030</v>
      </c>
      <c r="G6" s="193">
        <v>3180510905</v>
      </c>
      <c r="H6" s="193">
        <v>46139</v>
      </c>
      <c r="I6" s="193">
        <v>4851149631</v>
      </c>
      <c r="J6" s="193">
        <v>17245</v>
      </c>
      <c r="K6" s="193">
        <v>1345717538</v>
      </c>
      <c r="L6" s="193"/>
    </row>
    <row r="7" spans="1:13" s="6" customFormat="1" ht="96.4" hidden="1" customHeight="1">
      <c r="A7" s="58" t="s">
        <v>54</v>
      </c>
      <c r="B7" s="193">
        <f t="shared" si="0"/>
        <v>121544</v>
      </c>
      <c r="C7" s="193">
        <f t="shared" si="0"/>
        <v>13026270245</v>
      </c>
      <c r="D7" s="193">
        <v>186</v>
      </c>
      <c r="E7" s="193">
        <v>30239893</v>
      </c>
      <c r="F7" s="193">
        <v>46051</v>
      </c>
      <c r="G7" s="193">
        <v>4404640421</v>
      </c>
      <c r="H7" s="193">
        <v>54822</v>
      </c>
      <c r="I7" s="193">
        <v>6718996088</v>
      </c>
      <c r="J7" s="193">
        <v>20485</v>
      </c>
      <c r="K7" s="193">
        <v>1872393843</v>
      </c>
      <c r="L7" s="193"/>
    </row>
    <row r="8" spans="1:13" s="6" customFormat="1" ht="96.4" hidden="1" customHeight="1">
      <c r="A8" s="58" t="s">
        <v>8</v>
      </c>
      <c r="B8" s="87">
        <f t="shared" si="0"/>
        <v>139046</v>
      </c>
      <c r="C8" s="193">
        <f t="shared" si="0"/>
        <v>16473629508</v>
      </c>
      <c r="D8" s="193">
        <v>200</v>
      </c>
      <c r="E8" s="193">
        <v>35332310</v>
      </c>
      <c r="F8" s="193">
        <v>53435</v>
      </c>
      <c r="G8" s="193">
        <v>5795370389</v>
      </c>
      <c r="H8" s="193">
        <v>61265</v>
      </c>
      <c r="I8" s="193">
        <v>8109680122</v>
      </c>
      <c r="J8" s="193">
        <v>24146</v>
      </c>
      <c r="K8" s="193">
        <v>2533246687</v>
      </c>
      <c r="L8" s="193"/>
    </row>
    <row r="9" spans="1:13" s="6" customFormat="1" ht="74.650000000000006" hidden="1" customHeight="1">
      <c r="A9" s="58" t="s">
        <v>1</v>
      </c>
      <c r="B9" s="87">
        <v>168135</v>
      </c>
      <c r="C9" s="193">
        <v>23023998818</v>
      </c>
      <c r="D9" s="193">
        <v>211</v>
      </c>
      <c r="E9" s="193">
        <v>40062187</v>
      </c>
      <c r="F9" s="193">
        <v>66390</v>
      </c>
      <c r="G9" s="193">
        <v>8623810040</v>
      </c>
      <c r="H9" s="193">
        <v>70113</v>
      </c>
      <c r="I9" s="193">
        <v>10356086209</v>
      </c>
      <c r="J9" s="193">
        <v>31421</v>
      </c>
      <c r="K9" s="193">
        <v>4004040382</v>
      </c>
      <c r="L9" s="193"/>
    </row>
    <row r="10" spans="1:13" s="6" customFormat="1" ht="74.650000000000006" customHeight="1">
      <c r="A10" s="58" t="s">
        <v>3</v>
      </c>
      <c r="B10" s="87">
        <v>195912</v>
      </c>
      <c r="C10" s="193">
        <v>30230260386</v>
      </c>
      <c r="D10" s="193">
        <v>220</v>
      </c>
      <c r="E10" s="193">
        <v>41688020</v>
      </c>
      <c r="F10" s="193">
        <v>80146</v>
      </c>
      <c r="G10" s="193">
        <v>12041063855</v>
      </c>
      <c r="H10" s="193">
        <v>78368</v>
      </c>
      <c r="I10" s="193">
        <v>12791090876</v>
      </c>
      <c r="J10" s="193">
        <v>37178</v>
      </c>
      <c r="K10" s="193">
        <v>5356417635</v>
      </c>
      <c r="L10" s="193"/>
      <c r="M10" s="37">
        <f>SUM(B10:K18)-SUM('[2]48定撥(歷年)-OK'!$B$11:$K$19)</f>
        <v>0</v>
      </c>
    </row>
    <row r="11" spans="1:13" s="6" customFormat="1" ht="74.650000000000006" customHeight="1">
      <c r="A11" s="58" t="s">
        <v>4</v>
      </c>
      <c r="B11" s="87">
        <v>212943</v>
      </c>
      <c r="C11" s="193">
        <v>35744062123</v>
      </c>
      <c r="D11" s="193">
        <v>221</v>
      </c>
      <c r="E11" s="193">
        <v>42818010</v>
      </c>
      <c r="F11" s="193">
        <v>89194</v>
      </c>
      <c r="G11" s="193">
        <v>14804374696</v>
      </c>
      <c r="H11" s="193">
        <v>83012</v>
      </c>
      <c r="I11" s="193">
        <v>14544139342</v>
      </c>
      <c r="J11" s="193">
        <v>40516</v>
      </c>
      <c r="K11" s="193">
        <v>6352730075</v>
      </c>
      <c r="L11" s="193"/>
    </row>
    <row r="12" spans="1:13" s="6" customFormat="1" ht="74.650000000000006" customHeight="1">
      <c r="A12" s="58" t="s">
        <v>5</v>
      </c>
      <c r="B12" s="193">
        <v>232849</v>
      </c>
      <c r="C12" s="193">
        <v>42393374378</v>
      </c>
      <c r="D12" s="193">
        <v>226</v>
      </c>
      <c r="E12" s="193">
        <v>44367363</v>
      </c>
      <c r="F12" s="193">
        <v>100025</v>
      </c>
      <c r="G12" s="193">
        <v>18166050152</v>
      </c>
      <c r="H12" s="193">
        <v>88524</v>
      </c>
      <c r="I12" s="193">
        <v>16739426525</v>
      </c>
      <c r="J12" s="193">
        <v>44074</v>
      </c>
      <c r="K12" s="193">
        <v>7443530338</v>
      </c>
      <c r="L12" s="193"/>
    </row>
    <row r="13" spans="1:13" s="6" customFormat="1" ht="74.650000000000006" customHeight="1">
      <c r="A13" s="58" t="s">
        <v>6</v>
      </c>
      <c r="B13" s="194">
        <v>251909</v>
      </c>
      <c r="C13" s="194">
        <v>48849730788</v>
      </c>
      <c r="D13" s="195">
        <v>225</v>
      </c>
      <c r="E13" s="196">
        <v>45136513</v>
      </c>
      <c r="F13" s="196">
        <v>109461</v>
      </c>
      <c r="G13" s="196">
        <v>21303572664</v>
      </c>
      <c r="H13" s="196">
        <v>94095</v>
      </c>
      <c r="I13" s="196">
        <v>18895039519</v>
      </c>
      <c r="J13" s="196">
        <v>48128</v>
      </c>
      <c r="K13" s="196">
        <v>8605982092</v>
      </c>
      <c r="L13" s="196"/>
    </row>
    <row r="14" spans="1:13" s="6" customFormat="1" ht="74.650000000000006" customHeight="1">
      <c r="A14" s="58" t="s">
        <v>7</v>
      </c>
      <c r="B14" s="194">
        <v>268704</v>
      </c>
      <c r="C14" s="194">
        <v>55065741178</v>
      </c>
      <c r="D14" s="195">
        <v>227</v>
      </c>
      <c r="E14" s="196">
        <v>45028238</v>
      </c>
      <c r="F14" s="196">
        <v>117985</v>
      </c>
      <c r="G14" s="196">
        <v>24279442320</v>
      </c>
      <c r="H14" s="196">
        <v>98800</v>
      </c>
      <c r="I14" s="196">
        <v>20881569174</v>
      </c>
      <c r="J14" s="196">
        <v>51692</v>
      </c>
      <c r="K14" s="196">
        <v>9859701446</v>
      </c>
      <c r="L14" s="196"/>
    </row>
    <row r="15" spans="1:13" s="6" customFormat="1" ht="74.650000000000006" customHeight="1">
      <c r="A15" s="58" t="s">
        <v>467</v>
      </c>
      <c r="B15" s="197">
        <v>286221</v>
      </c>
      <c r="C15" s="194">
        <v>61492590965</v>
      </c>
      <c r="D15" s="193">
        <v>236</v>
      </c>
      <c r="E15" s="193">
        <v>48539381</v>
      </c>
      <c r="F15" s="193">
        <v>127310</v>
      </c>
      <c r="G15" s="193">
        <v>27516816740</v>
      </c>
      <c r="H15" s="193">
        <v>103840</v>
      </c>
      <c r="I15" s="193">
        <v>23010763716</v>
      </c>
      <c r="J15" s="193">
        <v>54835</v>
      </c>
      <c r="K15" s="193">
        <v>10916471128</v>
      </c>
      <c r="L15" s="193"/>
    </row>
    <row r="16" spans="1:13" s="6" customFormat="1" ht="74.650000000000006" customHeight="1">
      <c r="A16" s="58" t="s">
        <v>99</v>
      </c>
      <c r="B16" s="197">
        <v>306639</v>
      </c>
      <c r="C16" s="194">
        <v>69629006970</v>
      </c>
      <c r="D16" s="193">
        <v>233</v>
      </c>
      <c r="E16" s="193">
        <v>47869966</v>
      </c>
      <c r="F16" s="193">
        <v>137730</v>
      </c>
      <c r="G16" s="193">
        <v>31499992326</v>
      </c>
      <c r="H16" s="193">
        <v>109999</v>
      </c>
      <c r="I16" s="193">
        <v>25823242405</v>
      </c>
      <c r="J16" s="193">
        <v>58677</v>
      </c>
      <c r="K16" s="193">
        <v>12257902273</v>
      </c>
      <c r="L16" s="193"/>
    </row>
    <row r="17" spans="1:15" s="6" customFormat="1" ht="74.650000000000006" customHeight="1">
      <c r="A17" s="58" t="s">
        <v>188</v>
      </c>
      <c r="B17" s="197">
        <v>324373</v>
      </c>
      <c r="C17" s="194">
        <v>77237618984</v>
      </c>
      <c r="D17" s="193">
        <v>230</v>
      </c>
      <c r="E17" s="193">
        <v>47237166</v>
      </c>
      <c r="F17" s="193">
        <v>145279</v>
      </c>
      <c r="G17" s="193">
        <v>34614710756</v>
      </c>
      <c r="H17" s="193">
        <v>116373</v>
      </c>
      <c r="I17" s="193">
        <v>28913313764</v>
      </c>
      <c r="J17" s="193">
        <v>62491</v>
      </c>
      <c r="K17" s="193">
        <v>13662357298</v>
      </c>
      <c r="L17" s="193"/>
    </row>
    <row r="18" spans="1:15" s="6" customFormat="1" ht="74.650000000000006" customHeight="1">
      <c r="A18" s="58" t="s">
        <v>468</v>
      </c>
      <c r="B18" s="197">
        <v>342034</v>
      </c>
      <c r="C18" s="194">
        <v>84740568396</v>
      </c>
      <c r="D18" s="193">
        <v>223</v>
      </c>
      <c r="E18" s="193">
        <v>46559540</v>
      </c>
      <c r="F18" s="193">
        <v>153095</v>
      </c>
      <c r="G18" s="193">
        <v>38711655569</v>
      </c>
      <c r="H18" s="193">
        <v>123828</v>
      </c>
      <c r="I18" s="193">
        <v>33304904226</v>
      </c>
      <c r="J18" s="193">
        <v>64888</v>
      </c>
      <c r="K18" s="193">
        <v>12677449061</v>
      </c>
      <c r="L18" s="193"/>
    </row>
    <row r="19" spans="1:15" s="6" customFormat="1" ht="74.650000000000006" customHeight="1">
      <c r="A19" s="164" t="s">
        <v>396</v>
      </c>
      <c r="B19" s="199">
        <v>354711</v>
      </c>
      <c r="C19" s="139">
        <v>87106553523</v>
      </c>
      <c r="D19" s="88">
        <v>216</v>
      </c>
      <c r="E19" s="88">
        <v>45447894</v>
      </c>
      <c r="F19" s="88">
        <v>159677</v>
      </c>
      <c r="G19" s="88">
        <v>41255947677</v>
      </c>
      <c r="H19" s="88">
        <v>127841</v>
      </c>
      <c r="I19" s="88">
        <v>35235361871</v>
      </c>
      <c r="J19" s="88">
        <v>66977</v>
      </c>
      <c r="K19" s="88">
        <v>10569796081</v>
      </c>
      <c r="L19" s="689"/>
      <c r="M19" s="37"/>
      <c r="N19" s="37"/>
      <c r="O19" s="37"/>
    </row>
    <row r="20" spans="1:15">
      <c r="A20" s="198" t="s">
        <v>469</v>
      </c>
    </row>
    <row r="21" spans="1:15" s="683" customFormat="1">
      <c r="A21" s="686" t="s">
        <v>997</v>
      </c>
    </row>
    <row r="22" spans="1:15">
      <c r="A22" s="198" t="s">
        <v>470</v>
      </c>
      <c r="B22" s="198"/>
      <c r="C22" s="198"/>
      <c r="D22" s="198"/>
      <c r="E22" s="198"/>
      <c r="F22" s="198"/>
      <c r="G22" s="198"/>
      <c r="H22" s="198"/>
      <c r="I22" s="198"/>
      <c r="J22" s="198"/>
      <c r="K22" s="198"/>
      <c r="L22" s="198"/>
    </row>
    <row r="23" spans="1:15">
      <c r="A23" s="61" t="s">
        <v>439</v>
      </c>
      <c r="B23" s="200">
        <f>B19-'49定撥(當年度)o'!B5</f>
        <v>0</v>
      </c>
      <c r="C23" s="200">
        <f>C19-'49定撥(當年度)o'!C5</f>
        <v>0</v>
      </c>
      <c r="D23" s="200">
        <f>D19-'49定撥(當年度)o'!D5</f>
        <v>0</v>
      </c>
      <c r="E23" s="200">
        <f>E19-'49定撥(當年度)o'!E5</f>
        <v>0</v>
      </c>
      <c r="F23" s="200">
        <f>F19-'49定撥(當年度)o'!F5</f>
        <v>0</v>
      </c>
      <c r="G23" s="200">
        <f>G19-'49定撥(當年度)o'!G5</f>
        <v>0</v>
      </c>
      <c r="H23" s="200">
        <f>H19-'49定撥(當年度)o'!H5</f>
        <v>0</v>
      </c>
      <c r="I23" s="200">
        <f>I19-'49定撥(當年度)o'!I5</f>
        <v>0</v>
      </c>
      <c r="J23" s="200">
        <f>J19-'49定撥(當年度)o'!J5</f>
        <v>0</v>
      </c>
      <c r="K23" s="200">
        <f>K19-'49定撥(當年度)o'!K5</f>
        <v>0</v>
      </c>
      <c r="L23" s="200"/>
    </row>
  </sheetData>
  <mergeCells count="9">
    <mergeCell ref="A1:K1"/>
    <mergeCell ref="A2:I2"/>
    <mergeCell ref="J2:K2"/>
    <mergeCell ref="A3:A4"/>
    <mergeCell ref="B3:C3"/>
    <mergeCell ref="D3:E3"/>
    <mergeCell ref="F3:G3"/>
    <mergeCell ref="H3:I3"/>
    <mergeCell ref="J3:K3"/>
  </mergeCells>
  <phoneticPr fontId="3" type="noConversion"/>
  <pageMargins left="0.27" right="0.25" top="0.59055118110236227" bottom="0.45" header="0" footer="0"/>
  <pageSetup paperSize="9" scale="82" orientation="portrait" r:id="rId1"/>
  <headerFooter alignWithMargins="0"/>
</worksheet>
</file>

<file path=xl/worksheets/sheet51.xml><?xml version="1.0" encoding="utf-8"?>
<worksheet xmlns="http://schemas.openxmlformats.org/spreadsheetml/2006/main" xmlns:r="http://schemas.openxmlformats.org/officeDocument/2006/relationships">
  <sheetPr>
    <tabColor rgb="FF00FF00"/>
    <pageSetUpPr fitToPage="1"/>
  </sheetPr>
  <dimension ref="A1:W13"/>
  <sheetViews>
    <sheetView view="pageBreakPreview" zoomScale="75" zoomScaleNormal="100" zoomScaleSheetLayoutView="75" workbookViewId="0">
      <pane xSplit="1" ySplit="4" topLeftCell="B11" activePane="bottomRight" state="frozen"/>
      <selection activeCell="E20" sqref="E20"/>
      <selection pane="topRight" activeCell="E20" sqref="E20"/>
      <selection pane="bottomLeft" activeCell="E20" sqref="E20"/>
      <selection pane="bottomRight" activeCell="E20" sqref="E20"/>
    </sheetView>
  </sheetViews>
  <sheetFormatPr defaultColWidth="11" defaultRowHeight="15.75"/>
  <cols>
    <col min="1" max="1" width="12.5" style="91" customWidth="1"/>
    <col min="2" max="2" width="8.375" style="91" customWidth="1"/>
    <col min="3" max="3" width="13.125" style="91" customWidth="1"/>
    <col min="4" max="4" width="6.125" style="91" bestFit="1" customWidth="1"/>
    <col min="5" max="5" width="10.75" style="91" bestFit="1" customWidth="1"/>
    <col min="6" max="6" width="8.375" style="91" customWidth="1"/>
    <col min="7" max="7" width="14.125" style="91" customWidth="1"/>
    <col min="8" max="8" width="8.25" style="91" customWidth="1"/>
    <col min="9" max="9" width="14.125" style="91" customWidth="1"/>
    <col min="10" max="10" width="7.5" style="91" bestFit="1" customWidth="1"/>
    <col min="11" max="11" width="12.875" style="91" customWidth="1"/>
    <col min="12" max="16384" width="11" style="91"/>
  </cols>
  <sheetData>
    <row r="1" spans="1:23" s="84" customFormat="1" ht="33" customHeight="1">
      <c r="A1" s="931" t="s">
        <v>350</v>
      </c>
      <c r="B1" s="931"/>
      <c r="C1" s="931"/>
      <c r="D1" s="931"/>
      <c r="E1" s="931"/>
      <c r="F1" s="931"/>
      <c r="G1" s="931"/>
      <c r="H1" s="931"/>
      <c r="I1" s="931"/>
      <c r="J1" s="931"/>
      <c r="K1" s="931"/>
    </row>
    <row r="2" spans="1:23" s="2" customFormat="1" ht="33" customHeight="1">
      <c r="A2" s="882" t="s">
        <v>473</v>
      </c>
      <c r="B2" s="882"/>
      <c r="C2" s="882"/>
      <c r="D2" s="882"/>
      <c r="E2" s="882"/>
      <c r="F2" s="882"/>
      <c r="G2" s="882"/>
      <c r="H2" s="882"/>
      <c r="I2" s="882"/>
      <c r="J2" s="882"/>
      <c r="K2" s="882"/>
    </row>
    <row r="3" spans="1:23" s="1" customFormat="1" ht="39.75" customHeight="1">
      <c r="A3" s="782" t="s">
        <v>48</v>
      </c>
      <c r="B3" s="780" t="s">
        <v>349</v>
      </c>
      <c r="C3" s="781"/>
      <c r="D3" s="780" t="s">
        <v>43</v>
      </c>
      <c r="E3" s="781"/>
      <c r="F3" s="780" t="s">
        <v>44</v>
      </c>
      <c r="G3" s="781"/>
      <c r="H3" s="780" t="s">
        <v>45</v>
      </c>
      <c r="I3" s="781"/>
      <c r="J3" s="780" t="s">
        <v>46</v>
      </c>
      <c r="K3" s="781"/>
    </row>
    <row r="4" spans="1:23" s="1" customFormat="1" ht="39.75" customHeight="1">
      <c r="A4" s="782"/>
      <c r="B4" s="162" t="s">
        <v>90</v>
      </c>
      <c r="C4" s="166" t="s">
        <v>91</v>
      </c>
      <c r="D4" s="162" t="s">
        <v>90</v>
      </c>
      <c r="E4" s="166" t="s">
        <v>91</v>
      </c>
      <c r="F4" s="162" t="s">
        <v>90</v>
      </c>
      <c r="G4" s="166" t="s">
        <v>91</v>
      </c>
      <c r="H4" s="162" t="s">
        <v>90</v>
      </c>
      <c r="I4" s="166" t="s">
        <v>91</v>
      </c>
      <c r="J4" s="162" t="s">
        <v>90</v>
      </c>
      <c r="K4" s="160" t="s">
        <v>91</v>
      </c>
      <c r="L4" s="61" t="s">
        <v>439</v>
      </c>
    </row>
    <row r="5" spans="1:23" s="1" customFormat="1" ht="103.9" customHeight="1">
      <c r="A5" s="165" t="s">
        <v>49</v>
      </c>
      <c r="B5" s="197">
        <v>354711</v>
      </c>
      <c r="C5" s="144">
        <v>87106553523</v>
      </c>
      <c r="D5" s="144">
        <v>216</v>
      </c>
      <c r="E5" s="144">
        <v>45447894</v>
      </c>
      <c r="F5" s="144">
        <v>159677</v>
      </c>
      <c r="G5" s="144">
        <v>41255947677</v>
      </c>
      <c r="H5" s="144">
        <v>127841</v>
      </c>
      <c r="I5" s="144">
        <v>35235361871</v>
      </c>
      <c r="J5" s="144">
        <v>66977</v>
      </c>
      <c r="K5" s="144">
        <v>10569796081</v>
      </c>
      <c r="L5" s="143">
        <f>SUM(B6:B11)-B5</f>
        <v>0</v>
      </c>
      <c r="M5" s="143">
        <f t="shared" ref="M5:Q5" si="0">SUM(C6:C11)-C5</f>
        <v>0</v>
      </c>
      <c r="N5" s="143">
        <f t="shared" si="0"/>
        <v>0</v>
      </c>
      <c r="O5" s="143">
        <f t="shared" si="0"/>
        <v>0</v>
      </c>
      <c r="P5" s="143">
        <f t="shared" si="0"/>
        <v>0</v>
      </c>
      <c r="Q5" s="143">
        <f t="shared" si="0"/>
        <v>0</v>
      </c>
      <c r="R5" s="143">
        <f t="shared" ref="R5" si="1">SUM(H6:H11)-H5</f>
        <v>0</v>
      </c>
      <c r="S5" s="143">
        <f t="shared" ref="S5" si="2">SUM(I6:I11)-I5</f>
        <v>0</v>
      </c>
      <c r="T5" s="143">
        <f t="shared" ref="T5" si="3">SUM(J6:J11)-J5</f>
        <v>0</v>
      </c>
      <c r="U5" s="143">
        <f t="shared" ref="U5" si="4">SUM(K6:K11)-K5</f>
        <v>0</v>
      </c>
      <c r="V5" s="143"/>
      <c r="W5" s="143"/>
    </row>
    <row r="6" spans="1:23" s="6" customFormat="1" ht="103.9" customHeight="1">
      <c r="A6" s="90" t="s">
        <v>351</v>
      </c>
      <c r="B6" s="87">
        <v>331285</v>
      </c>
      <c r="C6" s="194">
        <v>84687618764</v>
      </c>
      <c r="D6" s="193">
        <v>188</v>
      </c>
      <c r="E6" s="193">
        <v>42997162</v>
      </c>
      <c r="F6" s="193">
        <v>146249</v>
      </c>
      <c r="G6" s="193">
        <v>39851653652</v>
      </c>
      <c r="H6" s="193">
        <v>120918</v>
      </c>
      <c r="I6" s="193">
        <v>34468188216</v>
      </c>
      <c r="J6" s="193">
        <v>63930</v>
      </c>
      <c r="K6" s="193">
        <v>10324779734</v>
      </c>
    </row>
    <row r="7" spans="1:23" s="6" customFormat="1" ht="103.9" customHeight="1">
      <c r="A7" s="690" t="s">
        <v>998</v>
      </c>
      <c r="B7" s="87">
        <v>17607</v>
      </c>
      <c r="C7" s="194">
        <v>1268828965</v>
      </c>
      <c r="D7" s="193">
        <v>28</v>
      </c>
      <c r="E7" s="193">
        <v>2450732</v>
      </c>
      <c r="F7" s="193">
        <v>10236</v>
      </c>
      <c r="G7" s="193">
        <v>708614446</v>
      </c>
      <c r="H7" s="193">
        <v>5841</v>
      </c>
      <c r="I7" s="193">
        <v>448880764</v>
      </c>
      <c r="J7" s="193">
        <v>1502</v>
      </c>
      <c r="K7" s="193">
        <v>108883023</v>
      </c>
    </row>
    <row r="8" spans="1:23" s="6" customFormat="1" ht="103.9" customHeight="1">
      <c r="A8" s="90" t="s">
        <v>352</v>
      </c>
      <c r="B8" s="87">
        <v>20</v>
      </c>
      <c r="C8" s="194">
        <v>2852389</v>
      </c>
      <c r="D8" s="193">
        <v>0</v>
      </c>
      <c r="E8" s="193">
        <v>0</v>
      </c>
      <c r="F8" s="193">
        <v>11</v>
      </c>
      <c r="G8" s="193">
        <v>1314793</v>
      </c>
      <c r="H8" s="193">
        <v>9</v>
      </c>
      <c r="I8" s="193">
        <v>1537596</v>
      </c>
      <c r="J8" s="193">
        <v>0</v>
      </c>
      <c r="K8" s="193">
        <v>0</v>
      </c>
    </row>
    <row r="9" spans="1:23" s="6" customFormat="1" ht="103.9" customHeight="1">
      <c r="A9" s="167" t="s">
        <v>85</v>
      </c>
      <c r="B9" s="87">
        <v>88</v>
      </c>
      <c r="C9" s="194">
        <v>7419125</v>
      </c>
      <c r="D9" s="193">
        <v>0</v>
      </c>
      <c r="E9" s="193">
        <v>0</v>
      </c>
      <c r="F9" s="193">
        <v>0</v>
      </c>
      <c r="G9" s="193">
        <v>0</v>
      </c>
      <c r="H9" s="193">
        <v>0</v>
      </c>
      <c r="I9" s="193">
        <v>0</v>
      </c>
      <c r="J9" s="193">
        <v>88</v>
      </c>
      <c r="K9" s="193">
        <v>7419125</v>
      </c>
    </row>
    <row r="10" spans="1:23" s="6" customFormat="1" ht="103.9" customHeight="1">
      <c r="A10" s="90" t="s">
        <v>353</v>
      </c>
      <c r="B10" s="87">
        <v>16</v>
      </c>
      <c r="C10" s="194">
        <v>628728</v>
      </c>
      <c r="D10" s="193">
        <v>0</v>
      </c>
      <c r="E10" s="193">
        <v>0</v>
      </c>
      <c r="F10" s="193">
        <v>0</v>
      </c>
      <c r="G10" s="193">
        <v>0</v>
      </c>
      <c r="H10" s="193">
        <v>0</v>
      </c>
      <c r="I10" s="193">
        <v>0</v>
      </c>
      <c r="J10" s="193">
        <v>16</v>
      </c>
      <c r="K10" s="193">
        <v>628728</v>
      </c>
    </row>
    <row r="11" spans="1:23" s="6" customFormat="1" ht="103.9" customHeight="1">
      <c r="A11" s="691" t="s">
        <v>471</v>
      </c>
      <c r="B11" s="88">
        <v>5695</v>
      </c>
      <c r="C11" s="88">
        <v>1139205552</v>
      </c>
      <c r="D11" s="88">
        <v>0</v>
      </c>
      <c r="E11" s="88">
        <v>0</v>
      </c>
      <c r="F11" s="88">
        <v>3181</v>
      </c>
      <c r="G11" s="88">
        <v>694364786</v>
      </c>
      <c r="H11" s="88">
        <v>1073</v>
      </c>
      <c r="I11" s="88">
        <v>316755295</v>
      </c>
      <c r="J11" s="88">
        <v>1441</v>
      </c>
      <c r="K11" s="88">
        <v>128085471</v>
      </c>
    </row>
    <row r="12" spans="1:23" ht="33.75" customHeight="1">
      <c r="A12" s="932" t="s">
        <v>999</v>
      </c>
      <c r="B12" s="932"/>
      <c r="C12" s="932"/>
      <c r="D12" s="932"/>
      <c r="E12" s="932"/>
      <c r="F12" s="932"/>
      <c r="G12" s="932"/>
      <c r="H12" s="932"/>
      <c r="I12" s="932"/>
      <c r="J12" s="932"/>
      <c r="K12" s="932"/>
    </row>
    <row r="13" spans="1:23">
      <c r="A13" s="198"/>
      <c r="B13" s="91" t="s">
        <v>354</v>
      </c>
    </row>
  </sheetData>
  <mergeCells count="9">
    <mergeCell ref="A12:K12"/>
    <mergeCell ref="A1:K1"/>
    <mergeCell ref="A2:K2"/>
    <mergeCell ref="A3:A4"/>
    <mergeCell ref="B3:C3"/>
    <mergeCell ref="D3:E3"/>
    <mergeCell ref="F3:G3"/>
    <mergeCell ref="H3:I3"/>
    <mergeCell ref="J3:K3"/>
  </mergeCells>
  <phoneticPr fontId="3" type="noConversion"/>
  <pageMargins left="0.23622047244094491" right="0.12" top="0.59055118110236227" bottom="0.51181102362204722" header="0" footer="0"/>
  <pageSetup paperSize="9" scale="86" orientation="portrait" r:id="rId1"/>
  <headerFooter alignWithMargins="0"/>
</worksheet>
</file>

<file path=xl/worksheets/sheet52.xml><?xml version="1.0" encoding="utf-8"?>
<worksheet xmlns="http://schemas.openxmlformats.org/spreadsheetml/2006/main" xmlns:r="http://schemas.openxmlformats.org/officeDocument/2006/relationships">
  <sheetPr>
    <tabColor rgb="FF00FFFF"/>
    <pageSetUpPr fitToPage="1"/>
  </sheetPr>
  <dimension ref="A1:AE27"/>
  <sheetViews>
    <sheetView view="pageBreakPreview" zoomScale="60" zoomScaleNormal="60" workbookViewId="0">
      <pane xSplit="8" ySplit="4" topLeftCell="I5" activePane="bottomRight" state="frozen"/>
      <selection activeCell="E20" sqref="E20"/>
      <selection pane="topRight" activeCell="E20" sqref="E20"/>
      <selection pane="bottomLeft" activeCell="E20" sqref="E20"/>
      <selection pane="bottomRight" activeCell="E20" sqref="E20"/>
    </sheetView>
  </sheetViews>
  <sheetFormatPr defaultRowHeight="30.6" customHeight="1"/>
  <cols>
    <col min="1" max="1" width="7.375" style="468" customWidth="1"/>
    <col min="2" max="2" width="8.125" style="468" customWidth="1"/>
    <col min="3" max="3" width="5.875" style="468" customWidth="1"/>
    <col min="4" max="4" width="2.5" style="468" customWidth="1"/>
    <col min="5" max="5" width="5.375" style="468" customWidth="1"/>
    <col min="6" max="6" width="6" style="468" customWidth="1"/>
    <col min="7" max="7" width="8.75" style="499" bestFit="1" customWidth="1"/>
    <col min="8" max="8" width="6.125" style="499" customWidth="1"/>
    <col min="9" max="9" width="6.375" style="468" customWidth="1"/>
    <col min="10" max="10" width="34.75" style="468" customWidth="1"/>
    <col min="11" max="11" width="9" style="468" customWidth="1"/>
    <col min="12" max="12" width="10" style="468" customWidth="1"/>
    <col min="13" max="13" width="9.875" style="468" customWidth="1"/>
    <col min="14" max="14" width="2.375" style="468" customWidth="1"/>
    <col min="15" max="15" width="9.625" style="499" customWidth="1"/>
    <col min="16" max="16" width="5.875" style="468" customWidth="1"/>
    <col min="17" max="17" width="2.875" style="468" customWidth="1"/>
    <col min="18" max="18" width="3" style="468" customWidth="1"/>
    <col min="19" max="19" width="9.875" style="499" customWidth="1"/>
    <col min="20" max="20" width="10.875" style="500" customWidth="1"/>
    <col min="21" max="21" width="14.5" style="468" customWidth="1"/>
    <col min="22" max="22" width="9" style="468" customWidth="1"/>
    <col min="23" max="23" width="11" style="468" bestFit="1" customWidth="1"/>
    <col min="24" max="244" width="9" style="468"/>
    <col min="245" max="245" width="7" style="468" customWidth="1"/>
    <col min="246" max="246" width="10.75" style="468" customWidth="1"/>
    <col min="247" max="247" width="16.5" style="468" customWidth="1"/>
    <col min="248" max="248" width="4.375" style="468" customWidth="1"/>
    <col min="249" max="249" width="2.5" style="468" customWidth="1"/>
    <col min="250" max="250" width="4.5" style="468" customWidth="1"/>
    <col min="251" max="251" width="12.75" style="468" customWidth="1"/>
    <col min="252" max="252" width="2.625" style="468" customWidth="1"/>
    <col min="253" max="253" width="13.625" style="468" customWidth="1"/>
    <col min="254" max="255" width="4.125" style="468" customWidth="1"/>
    <col min="256" max="256" width="3.75" style="468" customWidth="1"/>
    <col min="257" max="257" width="4.375" style="468" customWidth="1"/>
    <col min="258" max="258" width="4.875" style="468" customWidth="1"/>
    <col min="259" max="259" width="5" style="468" customWidth="1"/>
    <col min="260" max="260" width="4" style="468" customWidth="1"/>
    <col min="261" max="261" width="4.375" style="468" customWidth="1"/>
    <col min="262" max="262" width="42.25" style="468" customWidth="1"/>
    <col min="263" max="263" width="7.75" style="468" customWidth="1"/>
    <col min="264" max="264" width="8.25" style="468" customWidth="1"/>
    <col min="265" max="265" width="12" style="468" customWidth="1"/>
    <col min="266" max="266" width="8.125" style="468" customWidth="1"/>
    <col min="267" max="267" width="2.375" style="468" customWidth="1"/>
    <col min="268" max="268" width="7.625" style="468" customWidth="1"/>
    <col min="269" max="269" width="4.5" style="468" customWidth="1"/>
    <col min="270" max="270" width="2.875" style="468" customWidth="1"/>
    <col min="271" max="271" width="3" style="468" customWidth="1"/>
    <col min="272" max="272" width="7.5" style="468" customWidth="1"/>
    <col min="273" max="273" width="10.375" style="468" customWidth="1"/>
    <col min="274" max="274" width="4.375" style="468" customWidth="1"/>
    <col min="275" max="275" width="11.25" style="468" customWidth="1"/>
    <col min="276" max="276" width="21.75" style="468" customWidth="1"/>
    <col min="277" max="277" width="25.75" style="468" customWidth="1"/>
    <col min="278" max="278" width="55" style="468" customWidth="1"/>
    <col min="279" max="500" width="9" style="468"/>
    <col min="501" max="501" width="7" style="468" customWidth="1"/>
    <col min="502" max="502" width="10.75" style="468" customWidth="1"/>
    <col min="503" max="503" width="16.5" style="468" customWidth="1"/>
    <col min="504" max="504" width="4.375" style="468" customWidth="1"/>
    <col min="505" max="505" width="2.5" style="468" customWidth="1"/>
    <col min="506" max="506" width="4.5" style="468" customWidth="1"/>
    <col min="507" max="507" width="12.75" style="468" customWidth="1"/>
    <col min="508" max="508" width="2.625" style="468" customWidth="1"/>
    <col min="509" max="509" width="13.625" style="468" customWidth="1"/>
    <col min="510" max="511" width="4.125" style="468" customWidth="1"/>
    <col min="512" max="512" width="3.75" style="468" customWidth="1"/>
    <col min="513" max="513" width="4.375" style="468" customWidth="1"/>
    <col min="514" max="514" width="4.875" style="468" customWidth="1"/>
    <col min="515" max="515" width="5" style="468" customWidth="1"/>
    <col min="516" max="516" width="4" style="468" customWidth="1"/>
    <col min="517" max="517" width="4.375" style="468" customWidth="1"/>
    <col min="518" max="518" width="42.25" style="468" customWidth="1"/>
    <col min="519" max="519" width="7.75" style="468" customWidth="1"/>
    <col min="520" max="520" width="8.25" style="468" customWidth="1"/>
    <col min="521" max="521" width="12" style="468" customWidth="1"/>
    <col min="522" max="522" width="8.125" style="468" customWidth="1"/>
    <col min="523" max="523" width="2.375" style="468" customWidth="1"/>
    <col min="524" max="524" width="7.625" style="468" customWidth="1"/>
    <col min="525" max="525" width="4.5" style="468" customWidth="1"/>
    <col min="526" max="526" width="2.875" style="468" customWidth="1"/>
    <col min="527" max="527" width="3" style="468" customWidth="1"/>
    <col min="528" max="528" width="7.5" style="468" customWidth="1"/>
    <col min="529" max="529" width="10.375" style="468" customWidth="1"/>
    <col min="530" max="530" width="4.375" style="468" customWidth="1"/>
    <col min="531" max="531" width="11.25" style="468" customWidth="1"/>
    <col min="532" max="532" width="21.75" style="468" customWidth="1"/>
    <col min="533" max="533" width="25.75" style="468" customWidth="1"/>
    <col min="534" max="534" width="55" style="468" customWidth="1"/>
    <col min="535" max="756" width="9" style="468"/>
    <col min="757" max="757" width="7" style="468" customWidth="1"/>
    <col min="758" max="758" width="10.75" style="468" customWidth="1"/>
    <col min="759" max="759" width="16.5" style="468" customWidth="1"/>
    <col min="760" max="760" width="4.375" style="468" customWidth="1"/>
    <col min="761" max="761" width="2.5" style="468" customWidth="1"/>
    <col min="762" max="762" width="4.5" style="468" customWidth="1"/>
    <col min="763" max="763" width="12.75" style="468" customWidth="1"/>
    <col min="764" max="764" width="2.625" style="468" customWidth="1"/>
    <col min="765" max="765" width="13.625" style="468" customWidth="1"/>
    <col min="766" max="767" width="4.125" style="468" customWidth="1"/>
    <col min="768" max="768" width="3.75" style="468" customWidth="1"/>
    <col min="769" max="769" width="4.375" style="468" customWidth="1"/>
    <col min="770" max="770" width="4.875" style="468" customWidth="1"/>
    <col min="771" max="771" width="5" style="468" customWidth="1"/>
    <col min="772" max="772" width="4" style="468" customWidth="1"/>
    <col min="773" max="773" width="4.375" style="468" customWidth="1"/>
    <col min="774" max="774" width="42.25" style="468" customWidth="1"/>
    <col min="775" max="775" width="7.75" style="468" customWidth="1"/>
    <col min="776" max="776" width="8.25" style="468" customWidth="1"/>
    <col min="777" max="777" width="12" style="468" customWidth="1"/>
    <col min="778" max="778" width="8.125" style="468" customWidth="1"/>
    <col min="779" max="779" width="2.375" style="468" customWidth="1"/>
    <col min="780" max="780" width="7.625" style="468" customWidth="1"/>
    <col min="781" max="781" width="4.5" style="468" customWidth="1"/>
    <col min="782" max="782" width="2.875" style="468" customWidth="1"/>
    <col min="783" max="783" width="3" style="468" customWidth="1"/>
    <col min="784" max="784" width="7.5" style="468" customWidth="1"/>
    <col min="785" max="785" width="10.375" style="468" customWidth="1"/>
    <col min="786" max="786" width="4.375" style="468" customWidth="1"/>
    <col min="787" max="787" width="11.25" style="468" customWidth="1"/>
    <col min="788" max="788" width="21.75" style="468" customWidth="1"/>
    <col min="789" max="789" width="25.75" style="468" customWidth="1"/>
    <col min="790" max="790" width="55" style="468" customWidth="1"/>
    <col min="791" max="1012" width="9" style="468"/>
    <col min="1013" max="1013" width="7" style="468" customWidth="1"/>
    <col min="1014" max="1014" width="10.75" style="468" customWidth="1"/>
    <col min="1015" max="1015" width="16.5" style="468" customWidth="1"/>
    <col min="1016" max="1016" width="4.375" style="468" customWidth="1"/>
    <col min="1017" max="1017" width="2.5" style="468" customWidth="1"/>
    <col min="1018" max="1018" width="4.5" style="468" customWidth="1"/>
    <col min="1019" max="1019" width="12.75" style="468" customWidth="1"/>
    <col min="1020" max="1020" width="2.625" style="468" customWidth="1"/>
    <col min="1021" max="1021" width="13.625" style="468" customWidth="1"/>
    <col min="1022" max="1023" width="4.125" style="468" customWidth="1"/>
    <col min="1024" max="1024" width="3.75" style="468" customWidth="1"/>
    <col min="1025" max="1025" width="4.375" style="468" customWidth="1"/>
    <col min="1026" max="1026" width="4.875" style="468" customWidth="1"/>
    <col min="1027" max="1027" width="5" style="468" customWidth="1"/>
    <col min="1028" max="1028" width="4" style="468" customWidth="1"/>
    <col min="1029" max="1029" width="4.375" style="468" customWidth="1"/>
    <col min="1030" max="1030" width="42.25" style="468" customWidth="1"/>
    <col min="1031" max="1031" width="7.75" style="468" customWidth="1"/>
    <col min="1032" max="1032" width="8.25" style="468" customWidth="1"/>
    <col min="1033" max="1033" width="12" style="468" customWidth="1"/>
    <col min="1034" max="1034" width="8.125" style="468" customWidth="1"/>
    <col min="1035" max="1035" width="2.375" style="468" customWidth="1"/>
    <col min="1036" max="1036" width="7.625" style="468" customWidth="1"/>
    <col min="1037" max="1037" width="4.5" style="468" customWidth="1"/>
    <col min="1038" max="1038" width="2.875" style="468" customWidth="1"/>
    <col min="1039" max="1039" width="3" style="468" customWidth="1"/>
    <col min="1040" max="1040" width="7.5" style="468" customWidth="1"/>
    <col min="1041" max="1041" width="10.375" style="468" customWidth="1"/>
    <col min="1042" max="1042" width="4.375" style="468" customWidth="1"/>
    <col min="1043" max="1043" width="11.25" style="468" customWidth="1"/>
    <col min="1044" max="1044" width="21.75" style="468" customWidth="1"/>
    <col min="1045" max="1045" width="25.75" style="468" customWidth="1"/>
    <col min="1046" max="1046" width="55" style="468" customWidth="1"/>
    <col min="1047" max="1268" width="9" style="468"/>
    <col min="1269" max="1269" width="7" style="468" customWidth="1"/>
    <col min="1270" max="1270" width="10.75" style="468" customWidth="1"/>
    <col min="1271" max="1271" width="16.5" style="468" customWidth="1"/>
    <col min="1272" max="1272" width="4.375" style="468" customWidth="1"/>
    <col min="1273" max="1273" width="2.5" style="468" customWidth="1"/>
    <col min="1274" max="1274" width="4.5" style="468" customWidth="1"/>
    <col min="1275" max="1275" width="12.75" style="468" customWidth="1"/>
    <col min="1276" max="1276" width="2.625" style="468" customWidth="1"/>
    <col min="1277" max="1277" width="13.625" style="468" customWidth="1"/>
    <col min="1278" max="1279" width="4.125" style="468" customWidth="1"/>
    <col min="1280" max="1280" width="3.75" style="468" customWidth="1"/>
    <col min="1281" max="1281" width="4.375" style="468" customWidth="1"/>
    <col min="1282" max="1282" width="4.875" style="468" customWidth="1"/>
    <col min="1283" max="1283" width="5" style="468" customWidth="1"/>
    <col min="1284" max="1284" width="4" style="468" customWidth="1"/>
    <col min="1285" max="1285" width="4.375" style="468" customWidth="1"/>
    <col min="1286" max="1286" width="42.25" style="468" customWidth="1"/>
    <col min="1287" max="1287" width="7.75" style="468" customWidth="1"/>
    <col min="1288" max="1288" width="8.25" style="468" customWidth="1"/>
    <col min="1289" max="1289" width="12" style="468" customWidth="1"/>
    <col min="1290" max="1290" width="8.125" style="468" customWidth="1"/>
    <col min="1291" max="1291" width="2.375" style="468" customWidth="1"/>
    <col min="1292" max="1292" width="7.625" style="468" customWidth="1"/>
    <col min="1293" max="1293" width="4.5" style="468" customWidth="1"/>
    <col min="1294" max="1294" width="2.875" style="468" customWidth="1"/>
    <col min="1295" max="1295" width="3" style="468" customWidth="1"/>
    <col min="1296" max="1296" width="7.5" style="468" customWidth="1"/>
    <col min="1297" max="1297" width="10.375" style="468" customWidth="1"/>
    <col min="1298" max="1298" width="4.375" style="468" customWidth="1"/>
    <col min="1299" max="1299" width="11.25" style="468" customWidth="1"/>
    <col min="1300" max="1300" width="21.75" style="468" customWidth="1"/>
    <col min="1301" max="1301" width="25.75" style="468" customWidth="1"/>
    <col min="1302" max="1302" width="55" style="468" customWidth="1"/>
    <col min="1303" max="1524" width="9" style="468"/>
    <col min="1525" max="1525" width="7" style="468" customWidth="1"/>
    <col min="1526" max="1526" width="10.75" style="468" customWidth="1"/>
    <col min="1527" max="1527" width="16.5" style="468" customWidth="1"/>
    <col min="1528" max="1528" width="4.375" style="468" customWidth="1"/>
    <col min="1529" max="1529" width="2.5" style="468" customWidth="1"/>
    <col min="1530" max="1530" width="4.5" style="468" customWidth="1"/>
    <col min="1531" max="1531" width="12.75" style="468" customWidth="1"/>
    <col min="1532" max="1532" width="2.625" style="468" customWidth="1"/>
    <col min="1533" max="1533" width="13.625" style="468" customWidth="1"/>
    <col min="1534" max="1535" width="4.125" style="468" customWidth="1"/>
    <col min="1536" max="1536" width="3.75" style="468" customWidth="1"/>
    <col min="1537" max="1537" width="4.375" style="468" customWidth="1"/>
    <col min="1538" max="1538" width="4.875" style="468" customWidth="1"/>
    <col min="1539" max="1539" width="5" style="468" customWidth="1"/>
    <col min="1540" max="1540" width="4" style="468" customWidth="1"/>
    <col min="1541" max="1541" width="4.375" style="468" customWidth="1"/>
    <col min="1542" max="1542" width="42.25" style="468" customWidth="1"/>
    <col min="1543" max="1543" width="7.75" style="468" customWidth="1"/>
    <col min="1544" max="1544" width="8.25" style="468" customWidth="1"/>
    <col min="1545" max="1545" width="12" style="468" customWidth="1"/>
    <col min="1546" max="1546" width="8.125" style="468" customWidth="1"/>
    <col min="1547" max="1547" width="2.375" style="468" customWidth="1"/>
    <col min="1548" max="1548" width="7.625" style="468" customWidth="1"/>
    <col min="1549" max="1549" width="4.5" style="468" customWidth="1"/>
    <col min="1550" max="1550" width="2.875" style="468" customWidth="1"/>
    <col min="1551" max="1551" width="3" style="468" customWidth="1"/>
    <col min="1552" max="1552" width="7.5" style="468" customWidth="1"/>
    <col min="1553" max="1553" width="10.375" style="468" customWidth="1"/>
    <col min="1554" max="1554" width="4.375" style="468" customWidth="1"/>
    <col min="1555" max="1555" width="11.25" style="468" customWidth="1"/>
    <col min="1556" max="1556" width="21.75" style="468" customWidth="1"/>
    <col min="1557" max="1557" width="25.75" style="468" customWidth="1"/>
    <col min="1558" max="1558" width="55" style="468" customWidth="1"/>
    <col min="1559" max="1780" width="9" style="468"/>
    <col min="1781" max="1781" width="7" style="468" customWidth="1"/>
    <col min="1782" max="1782" width="10.75" style="468" customWidth="1"/>
    <col min="1783" max="1783" width="16.5" style="468" customWidth="1"/>
    <col min="1784" max="1784" width="4.375" style="468" customWidth="1"/>
    <col min="1785" max="1785" width="2.5" style="468" customWidth="1"/>
    <col min="1786" max="1786" width="4.5" style="468" customWidth="1"/>
    <col min="1787" max="1787" width="12.75" style="468" customWidth="1"/>
    <col min="1788" max="1788" width="2.625" style="468" customWidth="1"/>
    <col min="1789" max="1789" width="13.625" style="468" customWidth="1"/>
    <col min="1790" max="1791" width="4.125" style="468" customWidth="1"/>
    <col min="1792" max="1792" width="3.75" style="468" customWidth="1"/>
    <col min="1793" max="1793" width="4.375" style="468" customWidth="1"/>
    <col min="1794" max="1794" width="4.875" style="468" customWidth="1"/>
    <col min="1795" max="1795" width="5" style="468" customWidth="1"/>
    <col min="1796" max="1796" width="4" style="468" customWidth="1"/>
    <col min="1797" max="1797" width="4.375" style="468" customWidth="1"/>
    <col min="1798" max="1798" width="42.25" style="468" customWidth="1"/>
    <col min="1799" max="1799" width="7.75" style="468" customWidth="1"/>
    <col min="1800" max="1800" width="8.25" style="468" customWidth="1"/>
    <col min="1801" max="1801" width="12" style="468" customWidth="1"/>
    <col min="1802" max="1802" width="8.125" style="468" customWidth="1"/>
    <col min="1803" max="1803" width="2.375" style="468" customWidth="1"/>
    <col min="1804" max="1804" width="7.625" style="468" customWidth="1"/>
    <col min="1805" max="1805" width="4.5" style="468" customWidth="1"/>
    <col min="1806" max="1806" width="2.875" style="468" customWidth="1"/>
    <col min="1807" max="1807" width="3" style="468" customWidth="1"/>
    <col min="1808" max="1808" width="7.5" style="468" customWidth="1"/>
    <col min="1809" max="1809" width="10.375" style="468" customWidth="1"/>
    <col min="1810" max="1810" width="4.375" style="468" customWidth="1"/>
    <col min="1811" max="1811" width="11.25" style="468" customWidth="1"/>
    <col min="1812" max="1812" width="21.75" style="468" customWidth="1"/>
    <col min="1813" max="1813" width="25.75" style="468" customWidth="1"/>
    <col min="1814" max="1814" width="55" style="468" customWidth="1"/>
    <col min="1815" max="2036" width="9" style="468"/>
    <col min="2037" max="2037" width="7" style="468" customWidth="1"/>
    <col min="2038" max="2038" width="10.75" style="468" customWidth="1"/>
    <col min="2039" max="2039" width="16.5" style="468" customWidth="1"/>
    <col min="2040" max="2040" width="4.375" style="468" customWidth="1"/>
    <col min="2041" max="2041" width="2.5" style="468" customWidth="1"/>
    <col min="2042" max="2042" width="4.5" style="468" customWidth="1"/>
    <col min="2043" max="2043" width="12.75" style="468" customWidth="1"/>
    <col min="2044" max="2044" width="2.625" style="468" customWidth="1"/>
    <col min="2045" max="2045" width="13.625" style="468" customWidth="1"/>
    <col min="2046" max="2047" width="4.125" style="468" customWidth="1"/>
    <col min="2048" max="2048" width="3.75" style="468" customWidth="1"/>
    <col min="2049" max="2049" width="4.375" style="468" customWidth="1"/>
    <col min="2050" max="2050" width="4.875" style="468" customWidth="1"/>
    <col min="2051" max="2051" width="5" style="468" customWidth="1"/>
    <col min="2052" max="2052" width="4" style="468" customWidth="1"/>
    <col min="2053" max="2053" width="4.375" style="468" customWidth="1"/>
    <col min="2054" max="2054" width="42.25" style="468" customWidth="1"/>
    <col min="2055" max="2055" width="7.75" style="468" customWidth="1"/>
    <col min="2056" max="2056" width="8.25" style="468" customWidth="1"/>
    <col min="2057" max="2057" width="12" style="468" customWidth="1"/>
    <col min="2058" max="2058" width="8.125" style="468" customWidth="1"/>
    <col min="2059" max="2059" width="2.375" style="468" customWidth="1"/>
    <col min="2060" max="2060" width="7.625" style="468" customWidth="1"/>
    <col min="2061" max="2061" width="4.5" style="468" customWidth="1"/>
    <col min="2062" max="2062" width="2.875" style="468" customWidth="1"/>
    <col min="2063" max="2063" width="3" style="468" customWidth="1"/>
    <col min="2064" max="2064" width="7.5" style="468" customWidth="1"/>
    <col min="2065" max="2065" width="10.375" style="468" customWidth="1"/>
    <col min="2066" max="2066" width="4.375" style="468" customWidth="1"/>
    <col min="2067" max="2067" width="11.25" style="468" customWidth="1"/>
    <col min="2068" max="2068" width="21.75" style="468" customWidth="1"/>
    <col min="2069" max="2069" width="25.75" style="468" customWidth="1"/>
    <col min="2070" max="2070" width="55" style="468" customWidth="1"/>
    <col min="2071" max="2292" width="9" style="468"/>
    <col min="2293" max="2293" width="7" style="468" customWidth="1"/>
    <col min="2294" max="2294" width="10.75" style="468" customWidth="1"/>
    <col min="2295" max="2295" width="16.5" style="468" customWidth="1"/>
    <col min="2296" max="2296" width="4.375" style="468" customWidth="1"/>
    <col min="2297" max="2297" width="2.5" style="468" customWidth="1"/>
    <col min="2298" max="2298" width="4.5" style="468" customWidth="1"/>
    <col min="2299" max="2299" width="12.75" style="468" customWidth="1"/>
    <col min="2300" max="2300" width="2.625" style="468" customWidth="1"/>
    <col min="2301" max="2301" width="13.625" style="468" customWidth="1"/>
    <col min="2302" max="2303" width="4.125" style="468" customWidth="1"/>
    <col min="2304" max="2304" width="3.75" style="468" customWidth="1"/>
    <col min="2305" max="2305" width="4.375" style="468" customWidth="1"/>
    <col min="2306" max="2306" width="4.875" style="468" customWidth="1"/>
    <col min="2307" max="2307" width="5" style="468" customWidth="1"/>
    <col min="2308" max="2308" width="4" style="468" customWidth="1"/>
    <col min="2309" max="2309" width="4.375" style="468" customWidth="1"/>
    <col min="2310" max="2310" width="42.25" style="468" customWidth="1"/>
    <col min="2311" max="2311" width="7.75" style="468" customWidth="1"/>
    <col min="2312" max="2312" width="8.25" style="468" customWidth="1"/>
    <col min="2313" max="2313" width="12" style="468" customWidth="1"/>
    <col min="2314" max="2314" width="8.125" style="468" customWidth="1"/>
    <col min="2315" max="2315" width="2.375" style="468" customWidth="1"/>
    <col min="2316" max="2316" width="7.625" style="468" customWidth="1"/>
    <col min="2317" max="2317" width="4.5" style="468" customWidth="1"/>
    <col min="2318" max="2318" width="2.875" style="468" customWidth="1"/>
    <col min="2319" max="2319" width="3" style="468" customWidth="1"/>
    <col min="2320" max="2320" width="7.5" style="468" customWidth="1"/>
    <col min="2321" max="2321" width="10.375" style="468" customWidth="1"/>
    <col min="2322" max="2322" width="4.375" style="468" customWidth="1"/>
    <col min="2323" max="2323" width="11.25" style="468" customWidth="1"/>
    <col min="2324" max="2324" width="21.75" style="468" customWidth="1"/>
    <col min="2325" max="2325" width="25.75" style="468" customWidth="1"/>
    <col min="2326" max="2326" width="55" style="468" customWidth="1"/>
    <col min="2327" max="2548" width="9" style="468"/>
    <col min="2549" max="2549" width="7" style="468" customWidth="1"/>
    <col min="2550" max="2550" width="10.75" style="468" customWidth="1"/>
    <col min="2551" max="2551" width="16.5" style="468" customWidth="1"/>
    <col min="2552" max="2552" width="4.375" style="468" customWidth="1"/>
    <col min="2553" max="2553" width="2.5" style="468" customWidth="1"/>
    <col min="2554" max="2554" width="4.5" style="468" customWidth="1"/>
    <col min="2555" max="2555" width="12.75" style="468" customWidth="1"/>
    <col min="2556" max="2556" width="2.625" style="468" customWidth="1"/>
    <col min="2557" max="2557" width="13.625" style="468" customWidth="1"/>
    <col min="2558" max="2559" width="4.125" style="468" customWidth="1"/>
    <col min="2560" max="2560" width="3.75" style="468" customWidth="1"/>
    <col min="2561" max="2561" width="4.375" style="468" customWidth="1"/>
    <col min="2562" max="2562" width="4.875" style="468" customWidth="1"/>
    <col min="2563" max="2563" width="5" style="468" customWidth="1"/>
    <col min="2564" max="2564" width="4" style="468" customWidth="1"/>
    <col min="2565" max="2565" width="4.375" style="468" customWidth="1"/>
    <col min="2566" max="2566" width="42.25" style="468" customWidth="1"/>
    <col min="2567" max="2567" width="7.75" style="468" customWidth="1"/>
    <col min="2568" max="2568" width="8.25" style="468" customWidth="1"/>
    <col min="2569" max="2569" width="12" style="468" customWidth="1"/>
    <col min="2570" max="2570" width="8.125" style="468" customWidth="1"/>
    <col min="2571" max="2571" width="2.375" style="468" customWidth="1"/>
    <col min="2572" max="2572" width="7.625" style="468" customWidth="1"/>
    <col min="2573" max="2573" width="4.5" style="468" customWidth="1"/>
    <col min="2574" max="2574" width="2.875" style="468" customWidth="1"/>
    <col min="2575" max="2575" width="3" style="468" customWidth="1"/>
    <col min="2576" max="2576" width="7.5" style="468" customWidth="1"/>
    <col min="2577" max="2577" width="10.375" style="468" customWidth="1"/>
    <col min="2578" max="2578" width="4.375" style="468" customWidth="1"/>
    <col min="2579" max="2579" width="11.25" style="468" customWidth="1"/>
    <col min="2580" max="2580" width="21.75" style="468" customWidth="1"/>
    <col min="2581" max="2581" width="25.75" style="468" customWidth="1"/>
    <col min="2582" max="2582" width="55" style="468" customWidth="1"/>
    <col min="2583" max="2804" width="9" style="468"/>
    <col min="2805" max="2805" width="7" style="468" customWidth="1"/>
    <col min="2806" max="2806" width="10.75" style="468" customWidth="1"/>
    <col min="2807" max="2807" width="16.5" style="468" customWidth="1"/>
    <col min="2808" max="2808" width="4.375" style="468" customWidth="1"/>
    <col min="2809" max="2809" width="2.5" style="468" customWidth="1"/>
    <col min="2810" max="2810" width="4.5" style="468" customWidth="1"/>
    <col min="2811" max="2811" width="12.75" style="468" customWidth="1"/>
    <col min="2812" max="2812" width="2.625" style="468" customWidth="1"/>
    <col min="2813" max="2813" width="13.625" style="468" customWidth="1"/>
    <col min="2814" max="2815" width="4.125" style="468" customWidth="1"/>
    <col min="2816" max="2816" width="3.75" style="468" customWidth="1"/>
    <col min="2817" max="2817" width="4.375" style="468" customWidth="1"/>
    <col min="2818" max="2818" width="4.875" style="468" customWidth="1"/>
    <col min="2819" max="2819" width="5" style="468" customWidth="1"/>
    <col min="2820" max="2820" width="4" style="468" customWidth="1"/>
    <col min="2821" max="2821" width="4.375" style="468" customWidth="1"/>
    <col min="2822" max="2822" width="42.25" style="468" customWidth="1"/>
    <col min="2823" max="2823" width="7.75" style="468" customWidth="1"/>
    <col min="2824" max="2824" width="8.25" style="468" customWidth="1"/>
    <col min="2825" max="2825" width="12" style="468" customWidth="1"/>
    <col min="2826" max="2826" width="8.125" style="468" customWidth="1"/>
    <col min="2827" max="2827" width="2.375" style="468" customWidth="1"/>
    <col min="2828" max="2828" width="7.625" style="468" customWidth="1"/>
    <col min="2829" max="2829" width="4.5" style="468" customWidth="1"/>
    <col min="2830" max="2830" width="2.875" style="468" customWidth="1"/>
    <col min="2831" max="2831" width="3" style="468" customWidth="1"/>
    <col min="2832" max="2832" width="7.5" style="468" customWidth="1"/>
    <col min="2833" max="2833" width="10.375" style="468" customWidth="1"/>
    <col min="2834" max="2834" width="4.375" style="468" customWidth="1"/>
    <col min="2835" max="2835" width="11.25" style="468" customWidth="1"/>
    <col min="2836" max="2836" width="21.75" style="468" customWidth="1"/>
    <col min="2837" max="2837" width="25.75" style="468" customWidth="1"/>
    <col min="2838" max="2838" width="55" style="468" customWidth="1"/>
    <col min="2839" max="3060" width="9" style="468"/>
    <col min="3061" max="3061" width="7" style="468" customWidth="1"/>
    <col min="3062" max="3062" width="10.75" style="468" customWidth="1"/>
    <col min="3063" max="3063" width="16.5" style="468" customWidth="1"/>
    <col min="3064" max="3064" width="4.375" style="468" customWidth="1"/>
    <col min="3065" max="3065" width="2.5" style="468" customWidth="1"/>
    <col min="3066" max="3066" width="4.5" style="468" customWidth="1"/>
    <col min="3067" max="3067" width="12.75" style="468" customWidth="1"/>
    <col min="3068" max="3068" width="2.625" style="468" customWidth="1"/>
    <col min="3069" max="3069" width="13.625" style="468" customWidth="1"/>
    <col min="3070" max="3071" width="4.125" style="468" customWidth="1"/>
    <col min="3072" max="3072" width="3.75" style="468" customWidth="1"/>
    <col min="3073" max="3073" width="4.375" style="468" customWidth="1"/>
    <col min="3074" max="3074" width="4.875" style="468" customWidth="1"/>
    <col min="3075" max="3075" width="5" style="468" customWidth="1"/>
    <col min="3076" max="3076" width="4" style="468" customWidth="1"/>
    <col min="3077" max="3077" width="4.375" style="468" customWidth="1"/>
    <col min="3078" max="3078" width="42.25" style="468" customWidth="1"/>
    <col min="3079" max="3079" width="7.75" style="468" customWidth="1"/>
    <col min="3080" max="3080" width="8.25" style="468" customWidth="1"/>
    <col min="3081" max="3081" width="12" style="468" customWidth="1"/>
    <col min="3082" max="3082" width="8.125" style="468" customWidth="1"/>
    <col min="3083" max="3083" width="2.375" style="468" customWidth="1"/>
    <col min="3084" max="3084" width="7.625" style="468" customWidth="1"/>
    <col min="3085" max="3085" width="4.5" style="468" customWidth="1"/>
    <col min="3086" max="3086" width="2.875" style="468" customWidth="1"/>
    <col min="3087" max="3087" width="3" style="468" customWidth="1"/>
    <col min="3088" max="3088" width="7.5" style="468" customWidth="1"/>
    <col min="3089" max="3089" width="10.375" style="468" customWidth="1"/>
    <col min="3090" max="3090" width="4.375" style="468" customWidth="1"/>
    <col min="3091" max="3091" width="11.25" style="468" customWidth="1"/>
    <col min="3092" max="3092" width="21.75" style="468" customWidth="1"/>
    <col min="3093" max="3093" width="25.75" style="468" customWidth="1"/>
    <col min="3094" max="3094" width="55" style="468" customWidth="1"/>
    <col min="3095" max="3316" width="9" style="468"/>
    <col min="3317" max="3317" width="7" style="468" customWidth="1"/>
    <col min="3318" max="3318" width="10.75" style="468" customWidth="1"/>
    <col min="3319" max="3319" width="16.5" style="468" customWidth="1"/>
    <col min="3320" max="3320" width="4.375" style="468" customWidth="1"/>
    <col min="3321" max="3321" width="2.5" style="468" customWidth="1"/>
    <col min="3322" max="3322" width="4.5" style="468" customWidth="1"/>
    <col min="3323" max="3323" width="12.75" style="468" customWidth="1"/>
    <col min="3324" max="3324" width="2.625" style="468" customWidth="1"/>
    <col min="3325" max="3325" width="13.625" style="468" customWidth="1"/>
    <col min="3326" max="3327" width="4.125" style="468" customWidth="1"/>
    <col min="3328" max="3328" width="3.75" style="468" customWidth="1"/>
    <col min="3329" max="3329" width="4.375" style="468" customWidth="1"/>
    <col min="3330" max="3330" width="4.875" style="468" customWidth="1"/>
    <col min="3331" max="3331" width="5" style="468" customWidth="1"/>
    <col min="3332" max="3332" width="4" style="468" customWidth="1"/>
    <col min="3333" max="3333" width="4.375" style="468" customWidth="1"/>
    <col min="3334" max="3334" width="42.25" style="468" customWidth="1"/>
    <col min="3335" max="3335" width="7.75" style="468" customWidth="1"/>
    <col min="3336" max="3336" width="8.25" style="468" customWidth="1"/>
    <col min="3337" max="3337" width="12" style="468" customWidth="1"/>
    <col min="3338" max="3338" width="8.125" style="468" customWidth="1"/>
    <col min="3339" max="3339" width="2.375" style="468" customWidth="1"/>
    <col min="3340" max="3340" width="7.625" style="468" customWidth="1"/>
    <col min="3341" max="3341" width="4.5" style="468" customWidth="1"/>
    <col min="3342" max="3342" width="2.875" style="468" customWidth="1"/>
    <col min="3343" max="3343" width="3" style="468" customWidth="1"/>
    <col min="3344" max="3344" width="7.5" style="468" customWidth="1"/>
    <col min="3345" max="3345" width="10.375" style="468" customWidth="1"/>
    <col min="3346" max="3346" width="4.375" style="468" customWidth="1"/>
    <col min="3347" max="3347" width="11.25" style="468" customWidth="1"/>
    <col min="3348" max="3348" width="21.75" style="468" customWidth="1"/>
    <col min="3349" max="3349" width="25.75" style="468" customWidth="1"/>
    <col min="3350" max="3350" width="55" style="468" customWidth="1"/>
    <col min="3351" max="3572" width="9" style="468"/>
    <col min="3573" max="3573" width="7" style="468" customWidth="1"/>
    <col min="3574" max="3574" width="10.75" style="468" customWidth="1"/>
    <col min="3575" max="3575" width="16.5" style="468" customWidth="1"/>
    <col min="3576" max="3576" width="4.375" style="468" customWidth="1"/>
    <col min="3577" max="3577" width="2.5" style="468" customWidth="1"/>
    <col min="3578" max="3578" width="4.5" style="468" customWidth="1"/>
    <col min="3579" max="3579" width="12.75" style="468" customWidth="1"/>
    <col min="3580" max="3580" width="2.625" style="468" customWidth="1"/>
    <col min="3581" max="3581" width="13.625" style="468" customWidth="1"/>
    <col min="3582" max="3583" width="4.125" style="468" customWidth="1"/>
    <col min="3584" max="3584" width="3.75" style="468" customWidth="1"/>
    <col min="3585" max="3585" width="4.375" style="468" customWidth="1"/>
    <col min="3586" max="3586" width="4.875" style="468" customWidth="1"/>
    <col min="3587" max="3587" width="5" style="468" customWidth="1"/>
    <col min="3588" max="3588" width="4" style="468" customWidth="1"/>
    <col min="3589" max="3589" width="4.375" style="468" customWidth="1"/>
    <col min="3590" max="3590" width="42.25" style="468" customWidth="1"/>
    <col min="3591" max="3591" width="7.75" style="468" customWidth="1"/>
    <col min="3592" max="3592" width="8.25" style="468" customWidth="1"/>
    <col min="3593" max="3593" width="12" style="468" customWidth="1"/>
    <col min="3594" max="3594" width="8.125" style="468" customWidth="1"/>
    <col min="3595" max="3595" width="2.375" style="468" customWidth="1"/>
    <col min="3596" max="3596" width="7.625" style="468" customWidth="1"/>
    <col min="3597" max="3597" width="4.5" style="468" customWidth="1"/>
    <col min="3598" max="3598" width="2.875" style="468" customWidth="1"/>
    <col min="3599" max="3599" width="3" style="468" customWidth="1"/>
    <col min="3600" max="3600" width="7.5" style="468" customWidth="1"/>
    <col min="3601" max="3601" width="10.375" style="468" customWidth="1"/>
    <col min="3602" max="3602" width="4.375" style="468" customWidth="1"/>
    <col min="3603" max="3603" width="11.25" style="468" customWidth="1"/>
    <col min="3604" max="3604" width="21.75" style="468" customWidth="1"/>
    <col min="3605" max="3605" width="25.75" style="468" customWidth="1"/>
    <col min="3606" max="3606" width="55" style="468" customWidth="1"/>
    <col min="3607" max="3828" width="9" style="468"/>
    <col min="3829" max="3829" width="7" style="468" customWidth="1"/>
    <col min="3830" max="3830" width="10.75" style="468" customWidth="1"/>
    <col min="3831" max="3831" width="16.5" style="468" customWidth="1"/>
    <col min="3832" max="3832" width="4.375" style="468" customWidth="1"/>
    <col min="3833" max="3833" width="2.5" style="468" customWidth="1"/>
    <col min="3834" max="3834" width="4.5" style="468" customWidth="1"/>
    <col min="3835" max="3835" width="12.75" style="468" customWidth="1"/>
    <col min="3836" max="3836" width="2.625" style="468" customWidth="1"/>
    <col min="3837" max="3837" width="13.625" style="468" customWidth="1"/>
    <col min="3838" max="3839" width="4.125" style="468" customWidth="1"/>
    <col min="3840" max="3840" width="3.75" style="468" customWidth="1"/>
    <col min="3841" max="3841" width="4.375" style="468" customWidth="1"/>
    <col min="3842" max="3842" width="4.875" style="468" customWidth="1"/>
    <col min="3843" max="3843" width="5" style="468" customWidth="1"/>
    <col min="3844" max="3844" width="4" style="468" customWidth="1"/>
    <col min="3845" max="3845" width="4.375" style="468" customWidth="1"/>
    <col min="3846" max="3846" width="42.25" style="468" customWidth="1"/>
    <col min="3847" max="3847" width="7.75" style="468" customWidth="1"/>
    <col min="3848" max="3848" width="8.25" style="468" customWidth="1"/>
    <col min="3849" max="3849" width="12" style="468" customWidth="1"/>
    <col min="3850" max="3850" width="8.125" style="468" customWidth="1"/>
    <col min="3851" max="3851" width="2.375" style="468" customWidth="1"/>
    <col min="3852" max="3852" width="7.625" style="468" customWidth="1"/>
    <col min="3853" max="3853" width="4.5" style="468" customWidth="1"/>
    <col min="3854" max="3854" width="2.875" style="468" customWidth="1"/>
    <col min="3855" max="3855" width="3" style="468" customWidth="1"/>
    <col min="3856" max="3856" width="7.5" style="468" customWidth="1"/>
    <col min="3857" max="3857" width="10.375" style="468" customWidth="1"/>
    <col min="3858" max="3858" width="4.375" style="468" customWidth="1"/>
    <col min="3859" max="3859" width="11.25" style="468" customWidth="1"/>
    <col min="3860" max="3860" width="21.75" style="468" customWidth="1"/>
    <col min="3861" max="3861" width="25.75" style="468" customWidth="1"/>
    <col min="3862" max="3862" width="55" style="468" customWidth="1"/>
    <col min="3863" max="4084" width="9" style="468"/>
    <col min="4085" max="4085" width="7" style="468" customWidth="1"/>
    <col min="4086" max="4086" width="10.75" style="468" customWidth="1"/>
    <col min="4087" max="4087" width="16.5" style="468" customWidth="1"/>
    <col min="4088" max="4088" width="4.375" style="468" customWidth="1"/>
    <col min="4089" max="4089" width="2.5" style="468" customWidth="1"/>
    <col min="4090" max="4090" width="4.5" style="468" customWidth="1"/>
    <col min="4091" max="4091" width="12.75" style="468" customWidth="1"/>
    <col min="4092" max="4092" width="2.625" style="468" customWidth="1"/>
    <col min="4093" max="4093" width="13.625" style="468" customWidth="1"/>
    <col min="4094" max="4095" width="4.125" style="468" customWidth="1"/>
    <col min="4096" max="4096" width="3.75" style="468" customWidth="1"/>
    <col min="4097" max="4097" width="4.375" style="468" customWidth="1"/>
    <col min="4098" max="4098" width="4.875" style="468" customWidth="1"/>
    <col min="4099" max="4099" width="5" style="468" customWidth="1"/>
    <col min="4100" max="4100" width="4" style="468" customWidth="1"/>
    <col min="4101" max="4101" width="4.375" style="468" customWidth="1"/>
    <col min="4102" max="4102" width="42.25" style="468" customWidth="1"/>
    <col min="4103" max="4103" width="7.75" style="468" customWidth="1"/>
    <col min="4104" max="4104" width="8.25" style="468" customWidth="1"/>
    <col min="4105" max="4105" width="12" style="468" customWidth="1"/>
    <col min="4106" max="4106" width="8.125" style="468" customWidth="1"/>
    <col min="4107" max="4107" width="2.375" style="468" customWidth="1"/>
    <col min="4108" max="4108" width="7.625" style="468" customWidth="1"/>
    <col min="4109" max="4109" width="4.5" style="468" customWidth="1"/>
    <col min="4110" max="4110" width="2.875" style="468" customWidth="1"/>
    <col min="4111" max="4111" width="3" style="468" customWidth="1"/>
    <col min="4112" max="4112" width="7.5" style="468" customWidth="1"/>
    <col min="4113" max="4113" width="10.375" style="468" customWidth="1"/>
    <col min="4114" max="4114" width="4.375" style="468" customWidth="1"/>
    <col min="4115" max="4115" width="11.25" style="468" customWidth="1"/>
    <col min="4116" max="4116" width="21.75" style="468" customWidth="1"/>
    <col min="4117" max="4117" width="25.75" style="468" customWidth="1"/>
    <col min="4118" max="4118" width="55" style="468" customWidth="1"/>
    <col min="4119" max="4340" width="9" style="468"/>
    <col min="4341" max="4341" width="7" style="468" customWidth="1"/>
    <col min="4342" max="4342" width="10.75" style="468" customWidth="1"/>
    <col min="4343" max="4343" width="16.5" style="468" customWidth="1"/>
    <col min="4344" max="4344" width="4.375" style="468" customWidth="1"/>
    <col min="4345" max="4345" width="2.5" style="468" customWidth="1"/>
    <col min="4346" max="4346" width="4.5" style="468" customWidth="1"/>
    <col min="4347" max="4347" width="12.75" style="468" customWidth="1"/>
    <col min="4348" max="4348" width="2.625" style="468" customWidth="1"/>
    <col min="4349" max="4349" width="13.625" style="468" customWidth="1"/>
    <col min="4350" max="4351" width="4.125" style="468" customWidth="1"/>
    <col min="4352" max="4352" width="3.75" style="468" customWidth="1"/>
    <col min="4353" max="4353" width="4.375" style="468" customWidth="1"/>
    <col min="4354" max="4354" width="4.875" style="468" customWidth="1"/>
    <col min="4355" max="4355" width="5" style="468" customWidth="1"/>
    <col min="4356" max="4356" width="4" style="468" customWidth="1"/>
    <col min="4357" max="4357" width="4.375" style="468" customWidth="1"/>
    <col min="4358" max="4358" width="42.25" style="468" customWidth="1"/>
    <col min="4359" max="4359" width="7.75" style="468" customWidth="1"/>
    <col min="4360" max="4360" width="8.25" style="468" customWidth="1"/>
    <col min="4361" max="4361" width="12" style="468" customWidth="1"/>
    <col min="4362" max="4362" width="8.125" style="468" customWidth="1"/>
    <col min="4363" max="4363" width="2.375" style="468" customWidth="1"/>
    <col min="4364" max="4364" width="7.625" style="468" customWidth="1"/>
    <col min="4365" max="4365" width="4.5" style="468" customWidth="1"/>
    <col min="4366" max="4366" width="2.875" style="468" customWidth="1"/>
    <col min="4367" max="4367" width="3" style="468" customWidth="1"/>
    <col min="4368" max="4368" width="7.5" style="468" customWidth="1"/>
    <col min="4369" max="4369" width="10.375" style="468" customWidth="1"/>
    <col min="4370" max="4370" width="4.375" style="468" customWidth="1"/>
    <col min="4371" max="4371" width="11.25" style="468" customWidth="1"/>
    <col min="4372" max="4372" width="21.75" style="468" customWidth="1"/>
    <col min="4373" max="4373" width="25.75" style="468" customWidth="1"/>
    <col min="4374" max="4374" width="55" style="468" customWidth="1"/>
    <col min="4375" max="4596" width="9" style="468"/>
    <col min="4597" max="4597" width="7" style="468" customWidth="1"/>
    <col min="4598" max="4598" width="10.75" style="468" customWidth="1"/>
    <col min="4599" max="4599" width="16.5" style="468" customWidth="1"/>
    <col min="4600" max="4600" width="4.375" style="468" customWidth="1"/>
    <col min="4601" max="4601" width="2.5" style="468" customWidth="1"/>
    <col min="4602" max="4602" width="4.5" style="468" customWidth="1"/>
    <col min="4603" max="4603" width="12.75" style="468" customWidth="1"/>
    <col min="4604" max="4604" width="2.625" style="468" customWidth="1"/>
    <col min="4605" max="4605" width="13.625" style="468" customWidth="1"/>
    <col min="4606" max="4607" width="4.125" style="468" customWidth="1"/>
    <col min="4608" max="4608" width="3.75" style="468" customWidth="1"/>
    <col min="4609" max="4609" width="4.375" style="468" customWidth="1"/>
    <col min="4610" max="4610" width="4.875" style="468" customWidth="1"/>
    <col min="4611" max="4611" width="5" style="468" customWidth="1"/>
    <col min="4612" max="4612" width="4" style="468" customWidth="1"/>
    <col min="4613" max="4613" width="4.375" style="468" customWidth="1"/>
    <col min="4614" max="4614" width="42.25" style="468" customWidth="1"/>
    <col min="4615" max="4615" width="7.75" style="468" customWidth="1"/>
    <col min="4616" max="4616" width="8.25" style="468" customWidth="1"/>
    <col min="4617" max="4617" width="12" style="468" customWidth="1"/>
    <col min="4618" max="4618" width="8.125" style="468" customWidth="1"/>
    <col min="4619" max="4619" width="2.375" style="468" customWidth="1"/>
    <col min="4620" max="4620" width="7.625" style="468" customWidth="1"/>
    <col min="4621" max="4621" width="4.5" style="468" customWidth="1"/>
    <col min="4622" max="4622" width="2.875" style="468" customWidth="1"/>
    <col min="4623" max="4623" width="3" style="468" customWidth="1"/>
    <col min="4624" max="4624" width="7.5" style="468" customWidth="1"/>
    <col min="4625" max="4625" width="10.375" style="468" customWidth="1"/>
    <col min="4626" max="4626" width="4.375" style="468" customWidth="1"/>
    <col min="4627" max="4627" width="11.25" style="468" customWidth="1"/>
    <col min="4628" max="4628" width="21.75" style="468" customWidth="1"/>
    <col min="4629" max="4629" width="25.75" style="468" customWidth="1"/>
    <col min="4630" max="4630" width="55" style="468" customWidth="1"/>
    <col min="4631" max="4852" width="9" style="468"/>
    <col min="4853" max="4853" width="7" style="468" customWidth="1"/>
    <col min="4854" max="4854" width="10.75" style="468" customWidth="1"/>
    <col min="4855" max="4855" width="16.5" style="468" customWidth="1"/>
    <col min="4856" max="4856" width="4.375" style="468" customWidth="1"/>
    <col min="4857" max="4857" width="2.5" style="468" customWidth="1"/>
    <col min="4858" max="4858" width="4.5" style="468" customWidth="1"/>
    <col min="4859" max="4859" width="12.75" style="468" customWidth="1"/>
    <col min="4860" max="4860" width="2.625" style="468" customWidth="1"/>
    <col min="4861" max="4861" width="13.625" style="468" customWidth="1"/>
    <col min="4862" max="4863" width="4.125" style="468" customWidth="1"/>
    <col min="4864" max="4864" width="3.75" style="468" customWidth="1"/>
    <col min="4865" max="4865" width="4.375" style="468" customWidth="1"/>
    <col min="4866" max="4866" width="4.875" style="468" customWidth="1"/>
    <col min="4867" max="4867" width="5" style="468" customWidth="1"/>
    <col min="4868" max="4868" width="4" style="468" customWidth="1"/>
    <col min="4869" max="4869" width="4.375" style="468" customWidth="1"/>
    <col min="4870" max="4870" width="42.25" style="468" customWidth="1"/>
    <col min="4871" max="4871" width="7.75" style="468" customWidth="1"/>
    <col min="4872" max="4872" width="8.25" style="468" customWidth="1"/>
    <col min="4873" max="4873" width="12" style="468" customWidth="1"/>
    <col min="4874" max="4874" width="8.125" style="468" customWidth="1"/>
    <col min="4875" max="4875" width="2.375" style="468" customWidth="1"/>
    <col min="4876" max="4876" width="7.625" style="468" customWidth="1"/>
    <col min="4877" max="4877" width="4.5" style="468" customWidth="1"/>
    <col min="4878" max="4878" width="2.875" style="468" customWidth="1"/>
    <col min="4879" max="4879" width="3" style="468" customWidth="1"/>
    <col min="4880" max="4880" width="7.5" style="468" customWidth="1"/>
    <col min="4881" max="4881" width="10.375" style="468" customWidth="1"/>
    <col min="4882" max="4882" width="4.375" style="468" customWidth="1"/>
    <col min="4883" max="4883" width="11.25" style="468" customWidth="1"/>
    <col min="4884" max="4884" width="21.75" style="468" customWidth="1"/>
    <col min="4885" max="4885" width="25.75" style="468" customWidth="1"/>
    <col min="4886" max="4886" width="55" style="468" customWidth="1"/>
    <col min="4887" max="5108" width="9" style="468"/>
    <col min="5109" max="5109" width="7" style="468" customWidth="1"/>
    <col min="5110" max="5110" width="10.75" style="468" customWidth="1"/>
    <col min="5111" max="5111" width="16.5" style="468" customWidth="1"/>
    <col min="5112" max="5112" width="4.375" style="468" customWidth="1"/>
    <col min="5113" max="5113" width="2.5" style="468" customWidth="1"/>
    <col min="5114" max="5114" width="4.5" style="468" customWidth="1"/>
    <col min="5115" max="5115" width="12.75" style="468" customWidth="1"/>
    <col min="5116" max="5116" width="2.625" style="468" customWidth="1"/>
    <col min="5117" max="5117" width="13.625" style="468" customWidth="1"/>
    <col min="5118" max="5119" width="4.125" style="468" customWidth="1"/>
    <col min="5120" max="5120" width="3.75" style="468" customWidth="1"/>
    <col min="5121" max="5121" width="4.375" style="468" customWidth="1"/>
    <col min="5122" max="5122" width="4.875" style="468" customWidth="1"/>
    <col min="5123" max="5123" width="5" style="468" customWidth="1"/>
    <col min="5124" max="5124" width="4" style="468" customWidth="1"/>
    <col min="5125" max="5125" width="4.375" style="468" customWidth="1"/>
    <col min="5126" max="5126" width="42.25" style="468" customWidth="1"/>
    <col min="5127" max="5127" width="7.75" style="468" customWidth="1"/>
    <col min="5128" max="5128" width="8.25" style="468" customWidth="1"/>
    <col min="5129" max="5129" width="12" style="468" customWidth="1"/>
    <col min="5130" max="5130" width="8.125" style="468" customWidth="1"/>
    <col min="5131" max="5131" width="2.375" style="468" customWidth="1"/>
    <col min="5132" max="5132" width="7.625" style="468" customWidth="1"/>
    <col min="5133" max="5133" width="4.5" style="468" customWidth="1"/>
    <col min="5134" max="5134" width="2.875" style="468" customWidth="1"/>
    <col min="5135" max="5135" width="3" style="468" customWidth="1"/>
    <col min="5136" max="5136" width="7.5" style="468" customWidth="1"/>
    <col min="5137" max="5137" width="10.375" style="468" customWidth="1"/>
    <col min="5138" max="5138" width="4.375" style="468" customWidth="1"/>
    <col min="5139" max="5139" width="11.25" style="468" customWidth="1"/>
    <col min="5140" max="5140" width="21.75" style="468" customWidth="1"/>
    <col min="5141" max="5141" width="25.75" style="468" customWidth="1"/>
    <col min="5142" max="5142" width="55" style="468" customWidth="1"/>
    <col min="5143" max="5364" width="9" style="468"/>
    <col min="5365" max="5365" width="7" style="468" customWidth="1"/>
    <col min="5366" max="5366" width="10.75" style="468" customWidth="1"/>
    <col min="5367" max="5367" width="16.5" style="468" customWidth="1"/>
    <col min="5368" max="5368" width="4.375" style="468" customWidth="1"/>
    <col min="5369" max="5369" width="2.5" style="468" customWidth="1"/>
    <col min="5370" max="5370" width="4.5" style="468" customWidth="1"/>
    <col min="5371" max="5371" width="12.75" style="468" customWidth="1"/>
    <col min="5372" max="5372" width="2.625" style="468" customWidth="1"/>
    <col min="5373" max="5373" width="13.625" style="468" customWidth="1"/>
    <col min="5374" max="5375" width="4.125" style="468" customWidth="1"/>
    <col min="5376" max="5376" width="3.75" style="468" customWidth="1"/>
    <col min="5377" max="5377" width="4.375" style="468" customWidth="1"/>
    <col min="5378" max="5378" width="4.875" style="468" customWidth="1"/>
    <col min="5379" max="5379" width="5" style="468" customWidth="1"/>
    <col min="5380" max="5380" width="4" style="468" customWidth="1"/>
    <col min="5381" max="5381" width="4.375" style="468" customWidth="1"/>
    <col min="5382" max="5382" width="42.25" style="468" customWidth="1"/>
    <col min="5383" max="5383" width="7.75" style="468" customWidth="1"/>
    <col min="5384" max="5384" width="8.25" style="468" customWidth="1"/>
    <col min="5385" max="5385" width="12" style="468" customWidth="1"/>
    <col min="5386" max="5386" width="8.125" style="468" customWidth="1"/>
    <col min="5387" max="5387" width="2.375" style="468" customWidth="1"/>
    <col min="5388" max="5388" width="7.625" style="468" customWidth="1"/>
    <col min="5389" max="5389" width="4.5" style="468" customWidth="1"/>
    <col min="5390" max="5390" width="2.875" style="468" customWidth="1"/>
    <col min="5391" max="5391" width="3" style="468" customWidth="1"/>
    <col min="5392" max="5392" width="7.5" style="468" customWidth="1"/>
    <col min="5393" max="5393" width="10.375" style="468" customWidth="1"/>
    <col min="5394" max="5394" width="4.375" style="468" customWidth="1"/>
    <col min="5395" max="5395" width="11.25" style="468" customWidth="1"/>
    <col min="5396" max="5396" width="21.75" style="468" customWidth="1"/>
    <col min="5397" max="5397" width="25.75" style="468" customWidth="1"/>
    <col min="5398" max="5398" width="55" style="468" customWidth="1"/>
    <col min="5399" max="5620" width="9" style="468"/>
    <col min="5621" max="5621" width="7" style="468" customWidth="1"/>
    <col min="5622" max="5622" width="10.75" style="468" customWidth="1"/>
    <col min="5623" max="5623" width="16.5" style="468" customWidth="1"/>
    <col min="5624" max="5624" width="4.375" style="468" customWidth="1"/>
    <col min="5625" max="5625" width="2.5" style="468" customWidth="1"/>
    <col min="5626" max="5626" width="4.5" style="468" customWidth="1"/>
    <col min="5627" max="5627" width="12.75" style="468" customWidth="1"/>
    <col min="5628" max="5628" width="2.625" style="468" customWidth="1"/>
    <col min="5629" max="5629" width="13.625" style="468" customWidth="1"/>
    <col min="5630" max="5631" width="4.125" style="468" customWidth="1"/>
    <col min="5632" max="5632" width="3.75" style="468" customWidth="1"/>
    <col min="5633" max="5633" width="4.375" style="468" customWidth="1"/>
    <col min="5634" max="5634" width="4.875" style="468" customWidth="1"/>
    <col min="5635" max="5635" width="5" style="468" customWidth="1"/>
    <col min="5636" max="5636" width="4" style="468" customWidth="1"/>
    <col min="5637" max="5637" width="4.375" style="468" customWidth="1"/>
    <col min="5638" max="5638" width="42.25" style="468" customWidth="1"/>
    <col min="5639" max="5639" width="7.75" style="468" customWidth="1"/>
    <col min="5640" max="5640" width="8.25" style="468" customWidth="1"/>
    <col min="5641" max="5641" width="12" style="468" customWidth="1"/>
    <col min="5642" max="5642" width="8.125" style="468" customWidth="1"/>
    <col min="5643" max="5643" width="2.375" style="468" customWidth="1"/>
    <col min="5644" max="5644" width="7.625" style="468" customWidth="1"/>
    <col min="5645" max="5645" width="4.5" style="468" customWidth="1"/>
    <col min="5646" max="5646" width="2.875" style="468" customWidth="1"/>
    <col min="5647" max="5647" width="3" style="468" customWidth="1"/>
    <col min="5648" max="5648" width="7.5" style="468" customWidth="1"/>
    <col min="5649" max="5649" width="10.375" style="468" customWidth="1"/>
    <col min="5650" max="5650" width="4.375" style="468" customWidth="1"/>
    <col min="5651" max="5651" width="11.25" style="468" customWidth="1"/>
    <col min="5652" max="5652" width="21.75" style="468" customWidth="1"/>
    <col min="5653" max="5653" width="25.75" style="468" customWidth="1"/>
    <col min="5654" max="5654" width="55" style="468" customWidth="1"/>
    <col min="5655" max="5876" width="9" style="468"/>
    <col min="5877" max="5877" width="7" style="468" customWidth="1"/>
    <col min="5878" max="5878" width="10.75" style="468" customWidth="1"/>
    <col min="5879" max="5879" width="16.5" style="468" customWidth="1"/>
    <col min="5880" max="5880" width="4.375" style="468" customWidth="1"/>
    <col min="5881" max="5881" width="2.5" style="468" customWidth="1"/>
    <col min="5882" max="5882" width="4.5" style="468" customWidth="1"/>
    <col min="5883" max="5883" width="12.75" style="468" customWidth="1"/>
    <col min="5884" max="5884" width="2.625" style="468" customWidth="1"/>
    <col min="5885" max="5885" width="13.625" style="468" customWidth="1"/>
    <col min="5886" max="5887" width="4.125" style="468" customWidth="1"/>
    <col min="5888" max="5888" width="3.75" style="468" customWidth="1"/>
    <col min="5889" max="5889" width="4.375" style="468" customWidth="1"/>
    <col min="5890" max="5890" width="4.875" style="468" customWidth="1"/>
    <col min="5891" max="5891" width="5" style="468" customWidth="1"/>
    <col min="5892" max="5892" width="4" style="468" customWidth="1"/>
    <col min="5893" max="5893" width="4.375" style="468" customWidth="1"/>
    <col min="5894" max="5894" width="42.25" style="468" customWidth="1"/>
    <col min="5895" max="5895" width="7.75" style="468" customWidth="1"/>
    <col min="5896" max="5896" width="8.25" style="468" customWidth="1"/>
    <col min="5897" max="5897" width="12" style="468" customWidth="1"/>
    <col min="5898" max="5898" width="8.125" style="468" customWidth="1"/>
    <col min="5899" max="5899" width="2.375" style="468" customWidth="1"/>
    <col min="5900" max="5900" width="7.625" style="468" customWidth="1"/>
    <col min="5901" max="5901" width="4.5" style="468" customWidth="1"/>
    <col min="5902" max="5902" width="2.875" style="468" customWidth="1"/>
    <col min="5903" max="5903" width="3" style="468" customWidth="1"/>
    <col min="5904" max="5904" width="7.5" style="468" customWidth="1"/>
    <col min="5905" max="5905" width="10.375" style="468" customWidth="1"/>
    <col min="5906" max="5906" width="4.375" style="468" customWidth="1"/>
    <col min="5907" max="5907" width="11.25" style="468" customWidth="1"/>
    <col min="5908" max="5908" width="21.75" style="468" customWidth="1"/>
    <col min="5909" max="5909" width="25.75" style="468" customWidth="1"/>
    <col min="5910" max="5910" width="55" style="468" customWidth="1"/>
    <col min="5911" max="6132" width="9" style="468"/>
    <col min="6133" max="6133" width="7" style="468" customWidth="1"/>
    <col min="6134" max="6134" width="10.75" style="468" customWidth="1"/>
    <col min="6135" max="6135" width="16.5" style="468" customWidth="1"/>
    <col min="6136" max="6136" width="4.375" style="468" customWidth="1"/>
    <col min="6137" max="6137" width="2.5" style="468" customWidth="1"/>
    <col min="6138" max="6138" width="4.5" style="468" customWidth="1"/>
    <col min="6139" max="6139" width="12.75" style="468" customWidth="1"/>
    <col min="6140" max="6140" width="2.625" style="468" customWidth="1"/>
    <col min="6141" max="6141" width="13.625" style="468" customWidth="1"/>
    <col min="6142" max="6143" width="4.125" style="468" customWidth="1"/>
    <col min="6144" max="6144" width="3.75" style="468" customWidth="1"/>
    <col min="6145" max="6145" width="4.375" style="468" customWidth="1"/>
    <col min="6146" max="6146" width="4.875" style="468" customWidth="1"/>
    <col min="6147" max="6147" width="5" style="468" customWidth="1"/>
    <col min="6148" max="6148" width="4" style="468" customWidth="1"/>
    <col min="6149" max="6149" width="4.375" style="468" customWidth="1"/>
    <col min="6150" max="6150" width="42.25" style="468" customWidth="1"/>
    <col min="6151" max="6151" width="7.75" style="468" customWidth="1"/>
    <col min="6152" max="6152" width="8.25" style="468" customWidth="1"/>
    <col min="6153" max="6153" width="12" style="468" customWidth="1"/>
    <col min="6154" max="6154" width="8.125" style="468" customWidth="1"/>
    <col min="6155" max="6155" width="2.375" style="468" customWidth="1"/>
    <col min="6156" max="6156" width="7.625" style="468" customWidth="1"/>
    <col min="6157" max="6157" width="4.5" style="468" customWidth="1"/>
    <col min="6158" max="6158" width="2.875" style="468" customWidth="1"/>
    <col min="6159" max="6159" width="3" style="468" customWidth="1"/>
    <col min="6160" max="6160" width="7.5" style="468" customWidth="1"/>
    <col min="6161" max="6161" width="10.375" style="468" customWidth="1"/>
    <col min="6162" max="6162" width="4.375" style="468" customWidth="1"/>
    <col min="6163" max="6163" width="11.25" style="468" customWidth="1"/>
    <col min="6164" max="6164" width="21.75" style="468" customWidth="1"/>
    <col min="6165" max="6165" width="25.75" style="468" customWidth="1"/>
    <col min="6166" max="6166" width="55" style="468" customWidth="1"/>
    <col min="6167" max="6388" width="9" style="468"/>
    <col min="6389" max="6389" width="7" style="468" customWidth="1"/>
    <col min="6390" max="6390" width="10.75" style="468" customWidth="1"/>
    <col min="6391" max="6391" width="16.5" style="468" customWidth="1"/>
    <col min="6392" max="6392" width="4.375" style="468" customWidth="1"/>
    <col min="6393" max="6393" width="2.5" style="468" customWidth="1"/>
    <col min="6394" max="6394" width="4.5" style="468" customWidth="1"/>
    <col min="6395" max="6395" width="12.75" style="468" customWidth="1"/>
    <col min="6396" max="6396" width="2.625" style="468" customWidth="1"/>
    <col min="6397" max="6397" width="13.625" style="468" customWidth="1"/>
    <col min="6398" max="6399" width="4.125" style="468" customWidth="1"/>
    <col min="6400" max="6400" width="3.75" style="468" customWidth="1"/>
    <col min="6401" max="6401" width="4.375" style="468" customWidth="1"/>
    <col min="6402" max="6402" width="4.875" style="468" customWidth="1"/>
    <col min="6403" max="6403" width="5" style="468" customWidth="1"/>
    <col min="6404" max="6404" width="4" style="468" customWidth="1"/>
    <col min="6405" max="6405" width="4.375" style="468" customWidth="1"/>
    <col min="6406" max="6406" width="42.25" style="468" customWidth="1"/>
    <col min="6407" max="6407" width="7.75" style="468" customWidth="1"/>
    <col min="6408" max="6408" width="8.25" style="468" customWidth="1"/>
    <col min="6409" max="6409" width="12" style="468" customWidth="1"/>
    <col min="6410" max="6410" width="8.125" style="468" customWidth="1"/>
    <col min="6411" max="6411" width="2.375" style="468" customWidth="1"/>
    <col min="6412" max="6412" width="7.625" style="468" customWidth="1"/>
    <col min="6413" max="6413" width="4.5" style="468" customWidth="1"/>
    <col min="6414" max="6414" width="2.875" style="468" customWidth="1"/>
    <col min="6415" max="6415" width="3" style="468" customWidth="1"/>
    <col min="6416" max="6416" width="7.5" style="468" customWidth="1"/>
    <col min="6417" max="6417" width="10.375" style="468" customWidth="1"/>
    <col min="6418" max="6418" width="4.375" style="468" customWidth="1"/>
    <col min="6419" max="6419" width="11.25" style="468" customWidth="1"/>
    <col min="6420" max="6420" width="21.75" style="468" customWidth="1"/>
    <col min="6421" max="6421" width="25.75" style="468" customWidth="1"/>
    <col min="6422" max="6422" width="55" style="468" customWidth="1"/>
    <col min="6423" max="6644" width="9" style="468"/>
    <col min="6645" max="6645" width="7" style="468" customWidth="1"/>
    <col min="6646" max="6646" width="10.75" style="468" customWidth="1"/>
    <col min="6647" max="6647" width="16.5" style="468" customWidth="1"/>
    <col min="6648" max="6648" width="4.375" style="468" customWidth="1"/>
    <col min="6649" max="6649" width="2.5" style="468" customWidth="1"/>
    <col min="6650" max="6650" width="4.5" style="468" customWidth="1"/>
    <col min="6651" max="6651" width="12.75" style="468" customWidth="1"/>
    <col min="6652" max="6652" width="2.625" style="468" customWidth="1"/>
    <col min="6653" max="6653" width="13.625" style="468" customWidth="1"/>
    <col min="6654" max="6655" width="4.125" style="468" customWidth="1"/>
    <col min="6656" max="6656" width="3.75" style="468" customWidth="1"/>
    <col min="6657" max="6657" width="4.375" style="468" customWidth="1"/>
    <col min="6658" max="6658" width="4.875" style="468" customWidth="1"/>
    <col min="6659" max="6659" width="5" style="468" customWidth="1"/>
    <col min="6660" max="6660" width="4" style="468" customWidth="1"/>
    <col min="6661" max="6661" width="4.375" style="468" customWidth="1"/>
    <col min="6662" max="6662" width="42.25" style="468" customWidth="1"/>
    <col min="6663" max="6663" width="7.75" style="468" customWidth="1"/>
    <col min="6664" max="6664" width="8.25" style="468" customWidth="1"/>
    <col min="6665" max="6665" width="12" style="468" customWidth="1"/>
    <col min="6666" max="6666" width="8.125" style="468" customWidth="1"/>
    <col min="6667" max="6667" width="2.375" style="468" customWidth="1"/>
    <col min="6668" max="6668" width="7.625" style="468" customWidth="1"/>
    <col min="6669" max="6669" width="4.5" style="468" customWidth="1"/>
    <col min="6670" max="6670" width="2.875" style="468" customWidth="1"/>
    <col min="6671" max="6671" width="3" style="468" customWidth="1"/>
    <col min="6672" max="6672" width="7.5" style="468" customWidth="1"/>
    <col min="6673" max="6673" width="10.375" style="468" customWidth="1"/>
    <col min="6674" max="6674" width="4.375" style="468" customWidth="1"/>
    <col min="6675" max="6675" width="11.25" style="468" customWidth="1"/>
    <col min="6676" max="6676" width="21.75" style="468" customWidth="1"/>
    <col min="6677" max="6677" width="25.75" style="468" customWidth="1"/>
    <col min="6678" max="6678" width="55" style="468" customWidth="1"/>
    <col min="6679" max="6900" width="9" style="468"/>
    <col min="6901" max="6901" width="7" style="468" customWidth="1"/>
    <col min="6902" max="6902" width="10.75" style="468" customWidth="1"/>
    <col min="6903" max="6903" width="16.5" style="468" customWidth="1"/>
    <col min="6904" max="6904" width="4.375" style="468" customWidth="1"/>
    <col min="6905" max="6905" width="2.5" style="468" customWidth="1"/>
    <col min="6906" max="6906" width="4.5" style="468" customWidth="1"/>
    <col min="6907" max="6907" width="12.75" style="468" customWidth="1"/>
    <col min="6908" max="6908" width="2.625" style="468" customWidth="1"/>
    <col min="6909" max="6909" width="13.625" style="468" customWidth="1"/>
    <col min="6910" max="6911" width="4.125" style="468" customWidth="1"/>
    <col min="6912" max="6912" width="3.75" style="468" customWidth="1"/>
    <col min="6913" max="6913" width="4.375" style="468" customWidth="1"/>
    <col min="6914" max="6914" width="4.875" style="468" customWidth="1"/>
    <col min="6915" max="6915" width="5" style="468" customWidth="1"/>
    <col min="6916" max="6916" width="4" style="468" customWidth="1"/>
    <col min="6917" max="6917" width="4.375" style="468" customWidth="1"/>
    <col min="6918" max="6918" width="42.25" style="468" customWidth="1"/>
    <col min="6919" max="6919" width="7.75" style="468" customWidth="1"/>
    <col min="6920" max="6920" width="8.25" style="468" customWidth="1"/>
    <col min="6921" max="6921" width="12" style="468" customWidth="1"/>
    <col min="6922" max="6922" width="8.125" style="468" customWidth="1"/>
    <col min="6923" max="6923" width="2.375" style="468" customWidth="1"/>
    <col min="6924" max="6924" width="7.625" style="468" customWidth="1"/>
    <col min="6925" max="6925" width="4.5" style="468" customWidth="1"/>
    <col min="6926" max="6926" width="2.875" style="468" customWidth="1"/>
    <col min="6927" max="6927" width="3" style="468" customWidth="1"/>
    <col min="6928" max="6928" width="7.5" style="468" customWidth="1"/>
    <col min="6929" max="6929" width="10.375" style="468" customWidth="1"/>
    <col min="6930" max="6930" width="4.375" style="468" customWidth="1"/>
    <col min="6931" max="6931" width="11.25" style="468" customWidth="1"/>
    <col min="6932" max="6932" width="21.75" style="468" customWidth="1"/>
    <col min="6933" max="6933" width="25.75" style="468" customWidth="1"/>
    <col min="6934" max="6934" width="55" style="468" customWidth="1"/>
    <col min="6935" max="7156" width="9" style="468"/>
    <col min="7157" max="7157" width="7" style="468" customWidth="1"/>
    <col min="7158" max="7158" width="10.75" style="468" customWidth="1"/>
    <col min="7159" max="7159" width="16.5" style="468" customWidth="1"/>
    <col min="7160" max="7160" width="4.375" style="468" customWidth="1"/>
    <col min="7161" max="7161" width="2.5" style="468" customWidth="1"/>
    <col min="7162" max="7162" width="4.5" style="468" customWidth="1"/>
    <col min="7163" max="7163" width="12.75" style="468" customWidth="1"/>
    <col min="7164" max="7164" width="2.625" style="468" customWidth="1"/>
    <col min="7165" max="7165" width="13.625" style="468" customWidth="1"/>
    <col min="7166" max="7167" width="4.125" style="468" customWidth="1"/>
    <col min="7168" max="7168" width="3.75" style="468" customWidth="1"/>
    <col min="7169" max="7169" width="4.375" style="468" customWidth="1"/>
    <col min="7170" max="7170" width="4.875" style="468" customWidth="1"/>
    <col min="7171" max="7171" width="5" style="468" customWidth="1"/>
    <col min="7172" max="7172" width="4" style="468" customWidth="1"/>
    <col min="7173" max="7173" width="4.375" style="468" customWidth="1"/>
    <col min="7174" max="7174" width="42.25" style="468" customWidth="1"/>
    <col min="7175" max="7175" width="7.75" style="468" customWidth="1"/>
    <col min="7176" max="7176" width="8.25" style="468" customWidth="1"/>
    <col min="7177" max="7177" width="12" style="468" customWidth="1"/>
    <col min="7178" max="7178" width="8.125" style="468" customWidth="1"/>
    <col min="7179" max="7179" width="2.375" style="468" customWidth="1"/>
    <col min="7180" max="7180" width="7.625" style="468" customWidth="1"/>
    <col min="7181" max="7181" width="4.5" style="468" customWidth="1"/>
    <col min="7182" max="7182" width="2.875" style="468" customWidth="1"/>
    <col min="7183" max="7183" width="3" style="468" customWidth="1"/>
    <col min="7184" max="7184" width="7.5" style="468" customWidth="1"/>
    <col min="7185" max="7185" width="10.375" style="468" customWidth="1"/>
    <col min="7186" max="7186" width="4.375" style="468" customWidth="1"/>
    <col min="7187" max="7187" width="11.25" style="468" customWidth="1"/>
    <col min="7188" max="7188" width="21.75" style="468" customWidth="1"/>
    <col min="7189" max="7189" width="25.75" style="468" customWidth="1"/>
    <col min="7190" max="7190" width="55" style="468" customWidth="1"/>
    <col min="7191" max="7412" width="9" style="468"/>
    <col min="7413" max="7413" width="7" style="468" customWidth="1"/>
    <col min="7414" max="7414" width="10.75" style="468" customWidth="1"/>
    <col min="7415" max="7415" width="16.5" style="468" customWidth="1"/>
    <col min="7416" max="7416" width="4.375" style="468" customWidth="1"/>
    <col min="7417" max="7417" width="2.5" style="468" customWidth="1"/>
    <col min="7418" max="7418" width="4.5" style="468" customWidth="1"/>
    <col min="7419" max="7419" width="12.75" style="468" customWidth="1"/>
    <col min="7420" max="7420" width="2.625" style="468" customWidth="1"/>
    <col min="7421" max="7421" width="13.625" style="468" customWidth="1"/>
    <col min="7422" max="7423" width="4.125" style="468" customWidth="1"/>
    <col min="7424" max="7424" width="3.75" style="468" customWidth="1"/>
    <col min="7425" max="7425" width="4.375" style="468" customWidth="1"/>
    <col min="7426" max="7426" width="4.875" style="468" customWidth="1"/>
    <col min="7427" max="7427" width="5" style="468" customWidth="1"/>
    <col min="7428" max="7428" width="4" style="468" customWidth="1"/>
    <col min="7429" max="7429" width="4.375" style="468" customWidth="1"/>
    <col min="7430" max="7430" width="42.25" style="468" customWidth="1"/>
    <col min="7431" max="7431" width="7.75" style="468" customWidth="1"/>
    <col min="7432" max="7432" width="8.25" style="468" customWidth="1"/>
    <col min="7433" max="7433" width="12" style="468" customWidth="1"/>
    <col min="7434" max="7434" width="8.125" style="468" customWidth="1"/>
    <col min="7435" max="7435" width="2.375" style="468" customWidth="1"/>
    <col min="7436" max="7436" width="7.625" style="468" customWidth="1"/>
    <col min="7437" max="7437" width="4.5" style="468" customWidth="1"/>
    <col min="7438" max="7438" width="2.875" style="468" customWidth="1"/>
    <col min="7439" max="7439" width="3" style="468" customWidth="1"/>
    <col min="7440" max="7440" width="7.5" style="468" customWidth="1"/>
    <col min="7441" max="7441" width="10.375" style="468" customWidth="1"/>
    <col min="7442" max="7442" width="4.375" style="468" customWidth="1"/>
    <col min="7443" max="7443" width="11.25" style="468" customWidth="1"/>
    <col min="7444" max="7444" width="21.75" style="468" customWidth="1"/>
    <col min="7445" max="7445" width="25.75" style="468" customWidth="1"/>
    <col min="7446" max="7446" width="55" style="468" customWidth="1"/>
    <col min="7447" max="7668" width="9" style="468"/>
    <col min="7669" max="7669" width="7" style="468" customWidth="1"/>
    <col min="7670" max="7670" width="10.75" style="468" customWidth="1"/>
    <col min="7671" max="7671" width="16.5" style="468" customWidth="1"/>
    <col min="7672" max="7672" width="4.375" style="468" customWidth="1"/>
    <col min="7673" max="7673" width="2.5" style="468" customWidth="1"/>
    <col min="7674" max="7674" width="4.5" style="468" customWidth="1"/>
    <col min="7675" max="7675" width="12.75" style="468" customWidth="1"/>
    <col min="7676" max="7676" width="2.625" style="468" customWidth="1"/>
    <col min="7677" max="7677" width="13.625" style="468" customWidth="1"/>
    <col min="7678" max="7679" width="4.125" style="468" customWidth="1"/>
    <col min="7680" max="7680" width="3.75" style="468" customWidth="1"/>
    <col min="7681" max="7681" width="4.375" style="468" customWidth="1"/>
    <col min="7682" max="7682" width="4.875" style="468" customWidth="1"/>
    <col min="7683" max="7683" width="5" style="468" customWidth="1"/>
    <col min="7684" max="7684" width="4" style="468" customWidth="1"/>
    <col min="7685" max="7685" width="4.375" style="468" customWidth="1"/>
    <col min="7686" max="7686" width="42.25" style="468" customWidth="1"/>
    <col min="7687" max="7687" width="7.75" style="468" customWidth="1"/>
    <col min="7688" max="7688" width="8.25" style="468" customWidth="1"/>
    <col min="7689" max="7689" width="12" style="468" customWidth="1"/>
    <col min="7690" max="7690" width="8.125" style="468" customWidth="1"/>
    <col min="7691" max="7691" width="2.375" style="468" customWidth="1"/>
    <col min="7692" max="7692" width="7.625" style="468" customWidth="1"/>
    <col min="7693" max="7693" width="4.5" style="468" customWidth="1"/>
    <col min="7694" max="7694" width="2.875" style="468" customWidth="1"/>
    <col min="7695" max="7695" width="3" style="468" customWidth="1"/>
    <col min="7696" max="7696" width="7.5" style="468" customWidth="1"/>
    <col min="7697" max="7697" width="10.375" style="468" customWidth="1"/>
    <col min="7698" max="7698" width="4.375" style="468" customWidth="1"/>
    <col min="7699" max="7699" width="11.25" style="468" customWidth="1"/>
    <col min="7700" max="7700" width="21.75" style="468" customWidth="1"/>
    <col min="7701" max="7701" width="25.75" style="468" customWidth="1"/>
    <col min="7702" max="7702" width="55" style="468" customWidth="1"/>
    <col min="7703" max="7924" width="9" style="468"/>
    <col min="7925" max="7925" width="7" style="468" customWidth="1"/>
    <col min="7926" max="7926" width="10.75" style="468" customWidth="1"/>
    <col min="7927" max="7927" width="16.5" style="468" customWidth="1"/>
    <col min="7928" max="7928" width="4.375" style="468" customWidth="1"/>
    <col min="7929" max="7929" width="2.5" style="468" customWidth="1"/>
    <col min="7930" max="7930" width="4.5" style="468" customWidth="1"/>
    <col min="7931" max="7931" width="12.75" style="468" customWidth="1"/>
    <col min="7932" max="7932" width="2.625" style="468" customWidth="1"/>
    <col min="7933" max="7933" width="13.625" style="468" customWidth="1"/>
    <col min="7934" max="7935" width="4.125" style="468" customWidth="1"/>
    <col min="7936" max="7936" width="3.75" style="468" customWidth="1"/>
    <col min="7937" max="7937" width="4.375" style="468" customWidth="1"/>
    <col min="7938" max="7938" width="4.875" style="468" customWidth="1"/>
    <col min="7939" max="7939" width="5" style="468" customWidth="1"/>
    <col min="7940" max="7940" width="4" style="468" customWidth="1"/>
    <col min="7941" max="7941" width="4.375" style="468" customWidth="1"/>
    <col min="7942" max="7942" width="42.25" style="468" customWidth="1"/>
    <col min="7943" max="7943" width="7.75" style="468" customWidth="1"/>
    <col min="7944" max="7944" width="8.25" style="468" customWidth="1"/>
    <col min="7945" max="7945" width="12" style="468" customWidth="1"/>
    <col min="7946" max="7946" width="8.125" style="468" customWidth="1"/>
    <col min="7947" max="7947" width="2.375" style="468" customWidth="1"/>
    <col min="7948" max="7948" width="7.625" style="468" customWidth="1"/>
    <col min="7949" max="7949" width="4.5" style="468" customWidth="1"/>
    <col min="7950" max="7950" width="2.875" style="468" customWidth="1"/>
    <col min="7951" max="7951" width="3" style="468" customWidth="1"/>
    <col min="7952" max="7952" width="7.5" style="468" customWidth="1"/>
    <col min="7953" max="7953" width="10.375" style="468" customWidth="1"/>
    <col min="7954" max="7954" width="4.375" style="468" customWidth="1"/>
    <col min="7955" max="7955" width="11.25" style="468" customWidth="1"/>
    <col min="7956" max="7956" width="21.75" style="468" customWidth="1"/>
    <col min="7957" max="7957" width="25.75" style="468" customWidth="1"/>
    <col min="7958" max="7958" width="55" style="468" customWidth="1"/>
    <col min="7959" max="8180" width="9" style="468"/>
    <col min="8181" max="8181" width="7" style="468" customWidth="1"/>
    <col min="8182" max="8182" width="10.75" style="468" customWidth="1"/>
    <col min="8183" max="8183" width="16.5" style="468" customWidth="1"/>
    <col min="8184" max="8184" width="4.375" style="468" customWidth="1"/>
    <col min="8185" max="8185" width="2.5" style="468" customWidth="1"/>
    <col min="8186" max="8186" width="4.5" style="468" customWidth="1"/>
    <col min="8187" max="8187" width="12.75" style="468" customWidth="1"/>
    <col min="8188" max="8188" width="2.625" style="468" customWidth="1"/>
    <col min="8189" max="8189" width="13.625" style="468" customWidth="1"/>
    <col min="8190" max="8191" width="4.125" style="468" customWidth="1"/>
    <col min="8192" max="8192" width="3.75" style="468" customWidth="1"/>
    <col min="8193" max="8193" width="4.375" style="468" customWidth="1"/>
    <col min="8194" max="8194" width="4.875" style="468" customWidth="1"/>
    <col min="8195" max="8195" width="5" style="468" customWidth="1"/>
    <col min="8196" max="8196" width="4" style="468" customWidth="1"/>
    <col min="8197" max="8197" width="4.375" style="468" customWidth="1"/>
    <col min="8198" max="8198" width="42.25" style="468" customWidth="1"/>
    <col min="8199" max="8199" width="7.75" style="468" customWidth="1"/>
    <col min="8200" max="8200" width="8.25" style="468" customWidth="1"/>
    <col min="8201" max="8201" width="12" style="468" customWidth="1"/>
    <col min="8202" max="8202" width="8.125" style="468" customWidth="1"/>
    <col min="8203" max="8203" width="2.375" style="468" customWidth="1"/>
    <col min="8204" max="8204" width="7.625" style="468" customWidth="1"/>
    <col min="8205" max="8205" width="4.5" style="468" customWidth="1"/>
    <col min="8206" max="8206" width="2.875" style="468" customWidth="1"/>
    <col min="8207" max="8207" width="3" style="468" customWidth="1"/>
    <col min="8208" max="8208" width="7.5" style="468" customWidth="1"/>
    <col min="8209" max="8209" width="10.375" style="468" customWidth="1"/>
    <col min="8210" max="8210" width="4.375" style="468" customWidth="1"/>
    <col min="8211" max="8211" width="11.25" style="468" customWidth="1"/>
    <col min="8212" max="8212" width="21.75" style="468" customWidth="1"/>
    <col min="8213" max="8213" width="25.75" style="468" customWidth="1"/>
    <col min="8214" max="8214" width="55" style="468" customWidth="1"/>
    <col min="8215" max="8436" width="9" style="468"/>
    <col min="8437" max="8437" width="7" style="468" customWidth="1"/>
    <col min="8438" max="8438" width="10.75" style="468" customWidth="1"/>
    <col min="8439" max="8439" width="16.5" style="468" customWidth="1"/>
    <col min="8440" max="8440" width="4.375" style="468" customWidth="1"/>
    <col min="8441" max="8441" width="2.5" style="468" customWidth="1"/>
    <col min="8442" max="8442" width="4.5" style="468" customWidth="1"/>
    <col min="8443" max="8443" width="12.75" style="468" customWidth="1"/>
    <col min="8444" max="8444" width="2.625" style="468" customWidth="1"/>
    <col min="8445" max="8445" width="13.625" style="468" customWidth="1"/>
    <col min="8446" max="8447" width="4.125" style="468" customWidth="1"/>
    <col min="8448" max="8448" width="3.75" style="468" customWidth="1"/>
    <col min="8449" max="8449" width="4.375" style="468" customWidth="1"/>
    <col min="8450" max="8450" width="4.875" style="468" customWidth="1"/>
    <col min="8451" max="8451" width="5" style="468" customWidth="1"/>
    <col min="8452" max="8452" width="4" style="468" customWidth="1"/>
    <col min="8453" max="8453" width="4.375" style="468" customWidth="1"/>
    <col min="8454" max="8454" width="42.25" style="468" customWidth="1"/>
    <col min="8455" max="8455" width="7.75" style="468" customWidth="1"/>
    <col min="8456" max="8456" width="8.25" style="468" customWidth="1"/>
    <col min="8457" max="8457" width="12" style="468" customWidth="1"/>
    <col min="8458" max="8458" width="8.125" style="468" customWidth="1"/>
    <col min="8459" max="8459" width="2.375" style="468" customWidth="1"/>
    <col min="8460" max="8460" width="7.625" style="468" customWidth="1"/>
    <col min="8461" max="8461" width="4.5" style="468" customWidth="1"/>
    <col min="8462" max="8462" width="2.875" style="468" customWidth="1"/>
    <col min="8463" max="8463" width="3" style="468" customWidth="1"/>
    <col min="8464" max="8464" width="7.5" style="468" customWidth="1"/>
    <col min="8465" max="8465" width="10.375" style="468" customWidth="1"/>
    <col min="8466" max="8466" width="4.375" style="468" customWidth="1"/>
    <col min="8467" max="8467" width="11.25" style="468" customWidth="1"/>
    <col min="8468" max="8468" width="21.75" style="468" customWidth="1"/>
    <col min="8469" max="8469" width="25.75" style="468" customWidth="1"/>
    <col min="8470" max="8470" width="55" style="468" customWidth="1"/>
    <col min="8471" max="8692" width="9" style="468"/>
    <col min="8693" max="8693" width="7" style="468" customWidth="1"/>
    <col min="8694" max="8694" width="10.75" style="468" customWidth="1"/>
    <col min="8695" max="8695" width="16.5" style="468" customWidth="1"/>
    <col min="8696" max="8696" width="4.375" style="468" customWidth="1"/>
    <col min="8697" max="8697" width="2.5" style="468" customWidth="1"/>
    <col min="8698" max="8698" width="4.5" style="468" customWidth="1"/>
    <col min="8699" max="8699" width="12.75" style="468" customWidth="1"/>
    <col min="8700" max="8700" width="2.625" style="468" customWidth="1"/>
    <col min="8701" max="8701" width="13.625" style="468" customWidth="1"/>
    <col min="8702" max="8703" width="4.125" style="468" customWidth="1"/>
    <col min="8704" max="8704" width="3.75" style="468" customWidth="1"/>
    <col min="8705" max="8705" width="4.375" style="468" customWidth="1"/>
    <col min="8706" max="8706" width="4.875" style="468" customWidth="1"/>
    <col min="8707" max="8707" width="5" style="468" customWidth="1"/>
    <col min="8708" max="8708" width="4" style="468" customWidth="1"/>
    <col min="8709" max="8709" width="4.375" style="468" customWidth="1"/>
    <col min="8710" max="8710" width="42.25" style="468" customWidth="1"/>
    <col min="8711" max="8711" width="7.75" style="468" customWidth="1"/>
    <col min="8712" max="8712" width="8.25" style="468" customWidth="1"/>
    <col min="8713" max="8713" width="12" style="468" customWidth="1"/>
    <col min="8714" max="8714" width="8.125" style="468" customWidth="1"/>
    <col min="8715" max="8715" width="2.375" style="468" customWidth="1"/>
    <col min="8716" max="8716" width="7.625" style="468" customWidth="1"/>
    <col min="8717" max="8717" width="4.5" style="468" customWidth="1"/>
    <col min="8718" max="8718" width="2.875" style="468" customWidth="1"/>
    <col min="8719" max="8719" width="3" style="468" customWidth="1"/>
    <col min="8720" max="8720" width="7.5" style="468" customWidth="1"/>
    <col min="8721" max="8721" width="10.375" style="468" customWidth="1"/>
    <col min="8722" max="8722" width="4.375" style="468" customWidth="1"/>
    <col min="8723" max="8723" width="11.25" style="468" customWidth="1"/>
    <col min="8724" max="8724" width="21.75" style="468" customWidth="1"/>
    <col min="8725" max="8725" width="25.75" style="468" customWidth="1"/>
    <col min="8726" max="8726" width="55" style="468" customWidth="1"/>
    <col min="8727" max="8948" width="9" style="468"/>
    <col min="8949" max="8949" width="7" style="468" customWidth="1"/>
    <col min="8950" max="8950" width="10.75" style="468" customWidth="1"/>
    <col min="8951" max="8951" width="16.5" style="468" customWidth="1"/>
    <col min="8952" max="8952" width="4.375" style="468" customWidth="1"/>
    <col min="8953" max="8953" width="2.5" style="468" customWidth="1"/>
    <col min="8954" max="8954" width="4.5" style="468" customWidth="1"/>
    <col min="8955" max="8955" width="12.75" style="468" customWidth="1"/>
    <col min="8956" max="8956" width="2.625" style="468" customWidth="1"/>
    <col min="8957" max="8957" width="13.625" style="468" customWidth="1"/>
    <col min="8958" max="8959" width="4.125" style="468" customWidth="1"/>
    <col min="8960" max="8960" width="3.75" style="468" customWidth="1"/>
    <col min="8961" max="8961" width="4.375" style="468" customWidth="1"/>
    <col min="8962" max="8962" width="4.875" style="468" customWidth="1"/>
    <col min="8963" max="8963" width="5" style="468" customWidth="1"/>
    <col min="8964" max="8964" width="4" style="468" customWidth="1"/>
    <col min="8965" max="8965" width="4.375" style="468" customWidth="1"/>
    <col min="8966" max="8966" width="42.25" style="468" customWidth="1"/>
    <col min="8967" max="8967" width="7.75" style="468" customWidth="1"/>
    <col min="8968" max="8968" width="8.25" style="468" customWidth="1"/>
    <col min="8969" max="8969" width="12" style="468" customWidth="1"/>
    <col min="8970" max="8970" width="8.125" style="468" customWidth="1"/>
    <col min="8971" max="8971" width="2.375" style="468" customWidth="1"/>
    <col min="8972" max="8972" width="7.625" style="468" customWidth="1"/>
    <col min="8973" max="8973" width="4.5" style="468" customWidth="1"/>
    <col min="8974" max="8974" width="2.875" style="468" customWidth="1"/>
    <col min="8975" max="8975" width="3" style="468" customWidth="1"/>
    <col min="8976" max="8976" width="7.5" style="468" customWidth="1"/>
    <col min="8977" max="8977" width="10.375" style="468" customWidth="1"/>
    <col min="8978" max="8978" width="4.375" style="468" customWidth="1"/>
    <col min="8979" max="8979" width="11.25" style="468" customWidth="1"/>
    <col min="8980" max="8980" width="21.75" style="468" customWidth="1"/>
    <col min="8981" max="8981" width="25.75" style="468" customWidth="1"/>
    <col min="8982" max="8982" width="55" style="468" customWidth="1"/>
    <col min="8983" max="9204" width="9" style="468"/>
    <col min="9205" max="9205" width="7" style="468" customWidth="1"/>
    <col min="9206" max="9206" width="10.75" style="468" customWidth="1"/>
    <col min="9207" max="9207" width="16.5" style="468" customWidth="1"/>
    <col min="9208" max="9208" width="4.375" style="468" customWidth="1"/>
    <col min="9209" max="9209" width="2.5" style="468" customWidth="1"/>
    <col min="9210" max="9210" width="4.5" style="468" customWidth="1"/>
    <col min="9211" max="9211" width="12.75" style="468" customWidth="1"/>
    <col min="9212" max="9212" width="2.625" style="468" customWidth="1"/>
    <col min="9213" max="9213" width="13.625" style="468" customWidth="1"/>
    <col min="9214" max="9215" width="4.125" style="468" customWidth="1"/>
    <col min="9216" max="9216" width="3.75" style="468" customWidth="1"/>
    <col min="9217" max="9217" width="4.375" style="468" customWidth="1"/>
    <col min="9218" max="9218" width="4.875" style="468" customWidth="1"/>
    <col min="9219" max="9219" width="5" style="468" customWidth="1"/>
    <col min="9220" max="9220" width="4" style="468" customWidth="1"/>
    <col min="9221" max="9221" width="4.375" style="468" customWidth="1"/>
    <col min="9222" max="9222" width="42.25" style="468" customWidth="1"/>
    <col min="9223" max="9223" width="7.75" style="468" customWidth="1"/>
    <col min="9224" max="9224" width="8.25" style="468" customWidth="1"/>
    <col min="9225" max="9225" width="12" style="468" customWidth="1"/>
    <col min="9226" max="9226" width="8.125" style="468" customWidth="1"/>
    <col min="9227" max="9227" width="2.375" style="468" customWidth="1"/>
    <col min="9228" max="9228" width="7.625" style="468" customWidth="1"/>
    <col min="9229" max="9229" width="4.5" style="468" customWidth="1"/>
    <col min="9230" max="9230" width="2.875" style="468" customWidth="1"/>
    <col min="9231" max="9231" width="3" style="468" customWidth="1"/>
    <col min="9232" max="9232" width="7.5" style="468" customWidth="1"/>
    <col min="9233" max="9233" width="10.375" style="468" customWidth="1"/>
    <col min="9234" max="9234" width="4.375" style="468" customWidth="1"/>
    <col min="9235" max="9235" width="11.25" style="468" customWidth="1"/>
    <col min="9236" max="9236" width="21.75" style="468" customWidth="1"/>
    <col min="9237" max="9237" width="25.75" style="468" customWidth="1"/>
    <col min="9238" max="9238" width="55" style="468" customWidth="1"/>
    <col min="9239" max="9460" width="9" style="468"/>
    <col min="9461" max="9461" width="7" style="468" customWidth="1"/>
    <col min="9462" max="9462" width="10.75" style="468" customWidth="1"/>
    <col min="9463" max="9463" width="16.5" style="468" customWidth="1"/>
    <col min="9464" max="9464" width="4.375" style="468" customWidth="1"/>
    <col min="9465" max="9465" width="2.5" style="468" customWidth="1"/>
    <col min="9466" max="9466" width="4.5" style="468" customWidth="1"/>
    <col min="9467" max="9467" width="12.75" style="468" customWidth="1"/>
    <col min="9468" max="9468" width="2.625" style="468" customWidth="1"/>
    <col min="9469" max="9469" width="13.625" style="468" customWidth="1"/>
    <col min="9470" max="9471" width="4.125" style="468" customWidth="1"/>
    <col min="9472" max="9472" width="3.75" style="468" customWidth="1"/>
    <col min="9473" max="9473" width="4.375" style="468" customWidth="1"/>
    <col min="9474" max="9474" width="4.875" style="468" customWidth="1"/>
    <col min="9475" max="9475" width="5" style="468" customWidth="1"/>
    <col min="9476" max="9476" width="4" style="468" customWidth="1"/>
    <col min="9477" max="9477" width="4.375" style="468" customWidth="1"/>
    <col min="9478" max="9478" width="42.25" style="468" customWidth="1"/>
    <col min="9479" max="9479" width="7.75" style="468" customWidth="1"/>
    <col min="9480" max="9480" width="8.25" style="468" customWidth="1"/>
    <col min="9481" max="9481" width="12" style="468" customWidth="1"/>
    <col min="9482" max="9482" width="8.125" style="468" customWidth="1"/>
    <col min="9483" max="9483" width="2.375" style="468" customWidth="1"/>
    <col min="9484" max="9484" width="7.625" style="468" customWidth="1"/>
    <col min="9485" max="9485" width="4.5" style="468" customWidth="1"/>
    <col min="9486" max="9486" width="2.875" style="468" customWidth="1"/>
    <col min="9487" max="9487" width="3" style="468" customWidth="1"/>
    <col min="9488" max="9488" width="7.5" style="468" customWidth="1"/>
    <col min="9489" max="9489" width="10.375" style="468" customWidth="1"/>
    <col min="9490" max="9490" width="4.375" style="468" customWidth="1"/>
    <col min="9491" max="9491" width="11.25" style="468" customWidth="1"/>
    <col min="9492" max="9492" width="21.75" style="468" customWidth="1"/>
    <col min="9493" max="9493" width="25.75" style="468" customWidth="1"/>
    <col min="9494" max="9494" width="55" style="468" customWidth="1"/>
    <col min="9495" max="9716" width="9" style="468"/>
    <col min="9717" max="9717" width="7" style="468" customWidth="1"/>
    <col min="9718" max="9718" width="10.75" style="468" customWidth="1"/>
    <col min="9719" max="9719" width="16.5" style="468" customWidth="1"/>
    <col min="9720" max="9720" width="4.375" style="468" customWidth="1"/>
    <col min="9721" max="9721" width="2.5" style="468" customWidth="1"/>
    <col min="9722" max="9722" width="4.5" style="468" customWidth="1"/>
    <col min="9723" max="9723" width="12.75" style="468" customWidth="1"/>
    <col min="9724" max="9724" width="2.625" style="468" customWidth="1"/>
    <col min="9725" max="9725" width="13.625" style="468" customWidth="1"/>
    <col min="9726" max="9727" width="4.125" style="468" customWidth="1"/>
    <col min="9728" max="9728" width="3.75" style="468" customWidth="1"/>
    <col min="9729" max="9729" width="4.375" style="468" customWidth="1"/>
    <col min="9730" max="9730" width="4.875" style="468" customWidth="1"/>
    <col min="9731" max="9731" width="5" style="468" customWidth="1"/>
    <col min="9732" max="9732" width="4" style="468" customWidth="1"/>
    <col min="9733" max="9733" width="4.375" style="468" customWidth="1"/>
    <col min="9734" max="9734" width="42.25" style="468" customWidth="1"/>
    <col min="9735" max="9735" width="7.75" style="468" customWidth="1"/>
    <col min="9736" max="9736" width="8.25" style="468" customWidth="1"/>
    <col min="9737" max="9737" width="12" style="468" customWidth="1"/>
    <col min="9738" max="9738" width="8.125" style="468" customWidth="1"/>
    <col min="9739" max="9739" width="2.375" style="468" customWidth="1"/>
    <col min="9740" max="9740" width="7.625" style="468" customWidth="1"/>
    <col min="9741" max="9741" width="4.5" style="468" customWidth="1"/>
    <col min="9742" max="9742" width="2.875" style="468" customWidth="1"/>
    <col min="9743" max="9743" width="3" style="468" customWidth="1"/>
    <col min="9744" max="9744" width="7.5" style="468" customWidth="1"/>
    <col min="9745" max="9745" width="10.375" style="468" customWidth="1"/>
    <col min="9746" max="9746" width="4.375" style="468" customWidth="1"/>
    <col min="9747" max="9747" width="11.25" style="468" customWidth="1"/>
    <col min="9748" max="9748" width="21.75" style="468" customWidth="1"/>
    <col min="9749" max="9749" width="25.75" style="468" customWidth="1"/>
    <col min="9750" max="9750" width="55" style="468" customWidth="1"/>
    <col min="9751" max="9972" width="9" style="468"/>
    <col min="9973" max="9973" width="7" style="468" customWidth="1"/>
    <col min="9974" max="9974" width="10.75" style="468" customWidth="1"/>
    <col min="9975" max="9975" width="16.5" style="468" customWidth="1"/>
    <col min="9976" max="9976" width="4.375" style="468" customWidth="1"/>
    <col min="9977" max="9977" width="2.5" style="468" customWidth="1"/>
    <col min="9978" max="9978" width="4.5" style="468" customWidth="1"/>
    <col min="9979" max="9979" width="12.75" style="468" customWidth="1"/>
    <col min="9980" max="9980" width="2.625" style="468" customWidth="1"/>
    <col min="9981" max="9981" width="13.625" style="468" customWidth="1"/>
    <col min="9982" max="9983" width="4.125" style="468" customWidth="1"/>
    <col min="9984" max="9984" width="3.75" style="468" customWidth="1"/>
    <col min="9985" max="9985" width="4.375" style="468" customWidth="1"/>
    <col min="9986" max="9986" width="4.875" style="468" customWidth="1"/>
    <col min="9987" max="9987" width="5" style="468" customWidth="1"/>
    <col min="9988" max="9988" width="4" style="468" customWidth="1"/>
    <col min="9989" max="9989" width="4.375" style="468" customWidth="1"/>
    <col min="9990" max="9990" width="42.25" style="468" customWidth="1"/>
    <col min="9991" max="9991" width="7.75" style="468" customWidth="1"/>
    <col min="9992" max="9992" width="8.25" style="468" customWidth="1"/>
    <col min="9993" max="9993" width="12" style="468" customWidth="1"/>
    <col min="9994" max="9994" width="8.125" style="468" customWidth="1"/>
    <col min="9995" max="9995" width="2.375" style="468" customWidth="1"/>
    <col min="9996" max="9996" width="7.625" style="468" customWidth="1"/>
    <col min="9997" max="9997" width="4.5" style="468" customWidth="1"/>
    <col min="9998" max="9998" width="2.875" style="468" customWidth="1"/>
    <col min="9999" max="9999" width="3" style="468" customWidth="1"/>
    <col min="10000" max="10000" width="7.5" style="468" customWidth="1"/>
    <col min="10001" max="10001" width="10.375" style="468" customWidth="1"/>
    <col min="10002" max="10002" width="4.375" style="468" customWidth="1"/>
    <col min="10003" max="10003" width="11.25" style="468" customWidth="1"/>
    <col min="10004" max="10004" width="21.75" style="468" customWidth="1"/>
    <col min="10005" max="10005" width="25.75" style="468" customWidth="1"/>
    <col min="10006" max="10006" width="55" style="468" customWidth="1"/>
    <col min="10007" max="10228" width="9" style="468"/>
    <col min="10229" max="10229" width="7" style="468" customWidth="1"/>
    <col min="10230" max="10230" width="10.75" style="468" customWidth="1"/>
    <col min="10231" max="10231" width="16.5" style="468" customWidth="1"/>
    <col min="10232" max="10232" width="4.375" style="468" customWidth="1"/>
    <col min="10233" max="10233" width="2.5" style="468" customWidth="1"/>
    <col min="10234" max="10234" width="4.5" style="468" customWidth="1"/>
    <col min="10235" max="10235" width="12.75" style="468" customWidth="1"/>
    <col min="10236" max="10236" width="2.625" style="468" customWidth="1"/>
    <col min="10237" max="10237" width="13.625" style="468" customWidth="1"/>
    <col min="10238" max="10239" width="4.125" style="468" customWidth="1"/>
    <col min="10240" max="10240" width="3.75" style="468" customWidth="1"/>
    <col min="10241" max="10241" width="4.375" style="468" customWidth="1"/>
    <col min="10242" max="10242" width="4.875" style="468" customWidth="1"/>
    <col min="10243" max="10243" width="5" style="468" customWidth="1"/>
    <col min="10244" max="10244" width="4" style="468" customWidth="1"/>
    <col min="10245" max="10245" width="4.375" style="468" customWidth="1"/>
    <col min="10246" max="10246" width="42.25" style="468" customWidth="1"/>
    <col min="10247" max="10247" width="7.75" style="468" customWidth="1"/>
    <col min="10248" max="10248" width="8.25" style="468" customWidth="1"/>
    <col min="10249" max="10249" width="12" style="468" customWidth="1"/>
    <col min="10250" max="10250" width="8.125" style="468" customWidth="1"/>
    <col min="10251" max="10251" width="2.375" style="468" customWidth="1"/>
    <col min="10252" max="10252" width="7.625" style="468" customWidth="1"/>
    <col min="10253" max="10253" width="4.5" style="468" customWidth="1"/>
    <col min="10254" max="10254" width="2.875" style="468" customWidth="1"/>
    <col min="10255" max="10255" width="3" style="468" customWidth="1"/>
    <col min="10256" max="10256" width="7.5" style="468" customWidth="1"/>
    <col min="10257" max="10257" width="10.375" style="468" customWidth="1"/>
    <col min="10258" max="10258" width="4.375" style="468" customWidth="1"/>
    <col min="10259" max="10259" width="11.25" style="468" customWidth="1"/>
    <col min="10260" max="10260" width="21.75" style="468" customWidth="1"/>
    <col min="10261" max="10261" width="25.75" style="468" customWidth="1"/>
    <col min="10262" max="10262" width="55" style="468" customWidth="1"/>
    <col min="10263" max="10484" width="9" style="468"/>
    <col min="10485" max="10485" width="7" style="468" customWidth="1"/>
    <col min="10486" max="10486" width="10.75" style="468" customWidth="1"/>
    <col min="10487" max="10487" width="16.5" style="468" customWidth="1"/>
    <col min="10488" max="10488" width="4.375" style="468" customWidth="1"/>
    <col min="10489" max="10489" width="2.5" style="468" customWidth="1"/>
    <col min="10490" max="10490" width="4.5" style="468" customWidth="1"/>
    <col min="10491" max="10491" width="12.75" style="468" customWidth="1"/>
    <col min="10492" max="10492" width="2.625" style="468" customWidth="1"/>
    <col min="10493" max="10493" width="13.625" style="468" customWidth="1"/>
    <col min="10494" max="10495" width="4.125" style="468" customWidth="1"/>
    <col min="10496" max="10496" width="3.75" style="468" customWidth="1"/>
    <col min="10497" max="10497" width="4.375" style="468" customWidth="1"/>
    <col min="10498" max="10498" width="4.875" style="468" customWidth="1"/>
    <col min="10499" max="10499" width="5" style="468" customWidth="1"/>
    <col min="10500" max="10500" width="4" style="468" customWidth="1"/>
    <col min="10501" max="10501" width="4.375" style="468" customWidth="1"/>
    <col min="10502" max="10502" width="42.25" style="468" customWidth="1"/>
    <col min="10503" max="10503" width="7.75" style="468" customWidth="1"/>
    <col min="10504" max="10504" width="8.25" style="468" customWidth="1"/>
    <col min="10505" max="10505" width="12" style="468" customWidth="1"/>
    <col min="10506" max="10506" width="8.125" style="468" customWidth="1"/>
    <col min="10507" max="10507" width="2.375" style="468" customWidth="1"/>
    <col min="10508" max="10508" width="7.625" style="468" customWidth="1"/>
    <col min="10509" max="10509" width="4.5" style="468" customWidth="1"/>
    <col min="10510" max="10510" width="2.875" style="468" customWidth="1"/>
    <col min="10511" max="10511" width="3" style="468" customWidth="1"/>
    <col min="10512" max="10512" width="7.5" style="468" customWidth="1"/>
    <col min="10513" max="10513" width="10.375" style="468" customWidth="1"/>
    <col min="10514" max="10514" width="4.375" style="468" customWidth="1"/>
    <col min="10515" max="10515" width="11.25" style="468" customWidth="1"/>
    <col min="10516" max="10516" width="21.75" style="468" customWidth="1"/>
    <col min="10517" max="10517" width="25.75" style="468" customWidth="1"/>
    <col min="10518" max="10518" width="55" style="468" customWidth="1"/>
    <col min="10519" max="10740" width="9" style="468"/>
    <col min="10741" max="10741" width="7" style="468" customWidth="1"/>
    <col min="10742" max="10742" width="10.75" style="468" customWidth="1"/>
    <col min="10743" max="10743" width="16.5" style="468" customWidth="1"/>
    <col min="10744" max="10744" width="4.375" style="468" customWidth="1"/>
    <col min="10745" max="10745" width="2.5" style="468" customWidth="1"/>
    <col min="10746" max="10746" width="4.5" style="468" customWidth="1"/>
    <col min="10747" max="10747" width="12.75" style="468" customWidth="1"/>
    <col min="10748" max="10748" width="2.625" style="468" customWidth="1"/>
    <col min="10749" max="10749" width="13.625" style="468" customWidth="1"/>
    <col min="10750" max="10751" width="4.125" style="468" customWidth="1"/>
    <col min="10752" max="10752" width="3.75" style="468" customWidth="1"/>
    <col min="10753" max="10753" width="4.375" style="468" customWidth="1"/>
    <col min="10754" max="10754" width="4.875" style="468" customWidth="1"/>
    <col min="10755" max="10755" width="5" style="468" customWidth="1"/>
    <col min="10756" max="10756" width="4" style="468" customWidth="1"/>
    <col min="10757" max="10757" width="4.375" style="468" customWidth="1"/>
    <col min="10758" max="10758" width="42.25" style="468" customWidth="1"/>
    <col min="10759" max="10759" width="7.75" style="468" customWidth="1"/>
    <col min="10760" max="10760" width="8.25" style="468" customWidth="1"/>
    <col min="10761" max="10761" width="12" style="468" customWidth="1"/>
    <col min="10762" max="10762" width="8.125" style="468" customWidth="1"/>
    <col min="10763" max="10763" width="2.375" style="468" customWidth="1"/>
    <col min="10764" max="10764" width="7.625" style="468" customWidth="1"/>
    <col min="10765" max="10765" width="4.5" style="468" customWidth="1"/>
    <col min="10766" max="10766" width="2.875" style="468" customWidth="1"/>
    <col min="10767" max="10767" width="3" style="468" customWidth="1"/>
    <col min="10768" max="10768" width="7.5" style="468" customWidth="1"/>
    <col min="10769" max="10769" width="10.375" style="468" customWidth="1"/>
    <col min="10770" max="10770" width="4.375" style="468" customWidth="1"/>
    <col min="10771" max="10771" width="11.25" style="468" customWidth="1"/>
    <col min="10772" max="10772" width="21.75" style="468" customWidth="1"/>
    <col min="10773" max="10773" width="25.75" style="468" customWidth="1"/>
    <col min="10774" max="10774" width="55" style="468" customWidth="1"/>
    <col min="10775" max="10996" width="9" style="468"/>
    <col min="10997" max="10997" width="7" style="468" customWidth="1"/>
    <col min="10998" max="10998" width="10.75" style="468" customWidth="1"/>
    <col min="10999" max="10999" width="16.5" style="468" customWidth="1"/>
    <col min="11000" max="11000" width="4.375" style="468" customWidth="1"/>
    <col min="11001" max="11001" width="2.5" style="468" customWidth="1"/>
    <col min="11002" max="11002" width="4.5" style="468" customWidth="1"/>
    <col min="11003" max="11003" width="12.75" style="468" customWidth="1"/>
    <col min="11004" max="11004" width="2.625" style="468" customWidth="1"/>
    <col min="11005" max="11005" width="13.625" style="468" customWidth="1"/>
    <col min="11006" max="11007" width="4.125" style="468" customWidth="1"/>
    <col min="11008" max="11008" width="3.75" style="468" customWidth="1"/>
    <col min="11009" max="11009" width="4.375" style="468" customWidth="1"/>
    <col min="11010" max="11010" width="4.875" style="468" customWidth="1"/>
    <col min="11011" max="11011" width="5" style="468" customWidth="1"/>
    <col min="11012" max="11012" width="4" style="468" customWidth="1"/>
    <col min="11013" max="11013" width="4.375" style="468" customWidth="1"/>
    <col min="11014" max="11014" width="42.25" style="468" customWidth="1"/>
    <col min="11015" max="11015" width="7.75" style="468" customWidth="1"/>
    <col min="11016" max="11016" width="8.25" style="468" customWidth="1"/>
    <col min="11017" max="11017" width="12" style="468" customWidth="1"/>
    <col min="11018" max="11018" width="8.125" style="468" customWidth="1"/>
    <col min="11019" max="11019" width="2.375" style="468" customWidth="1"/>
    <col min="11020" max="11020" width="7.625" style="468" customWidth="1"/>
    <col min="11021" max="11021" width="4.5" style="468" customWidth="1"/>
    <col min="11022" max="11022" width="2.875" style="468" customWidth="1"/>
    <col min="11023" max="11023" width="3" style="468" customWidth="1"/>
    <col min="11024" max="11024" width="7.5" style="468" customWidth="1"/>
    <col min="11025" max="11025" width="10.375" style="468" customWidth="1"/>
    <col min="11026" max="11026" width="4.375" style="468" customWidth="1"/>
    <col min="11027" max="11027" width="11.25" style="468" customWidth="1"/>
    <col min="11028" max="11028" width="21.75" style="468" customWidth="1"/>
    <col min="11029" max="11029" width="25.75" style="468" customWidth="1"/>
    <col min="11030" max="11030" width="55" style="468" customWidth="1"/>
    <col min="11031" max="11252" width="9" style="468"/>
    <col min="11253" max="11253" width="7" style="468" customWidth="1"/>
    <col min="11254" max="11254" width="10.75" style="468" customWidth="1"/>
    <col min="11255" max="11255" width="16.5" style="468" customWidth="1"/>
    <col min="11256" max="11256" width="4.375" style="468" customWidth="1"/>
    <col min="11257" max="11257" width="2.5" style="468" customWidth="1"/>
    <col min="11258" max="11258" width="4.5" style="468" customWidth="1"/>
    <col min="11259" max="11259" width="12.75" style="468" customWidth="1"/>
    <col min="11260" max="11260" width="2.625" style="468" customWidth="1"/>
    <col min="11261" max="11261" width="13.625" style="468" customWidth="1"/>
    <col min="11262" max="11263" width="4.125" style="468" customWidth="1"/>
    <col min="11264" max="11264" width="3.75" style="468" customWidth="1"/>
    <col min="11265" max="11265" width="4.375" style="468" customWidth="1"/>
    <col min="11266" max="11266" width="4.875" style="468" customWidth="1"/>
    <col min="11267" max="11267" width="5" style="468" customWidth="1"/>
    <col min="11268" max="11268" width="4" style="468" customWidth="1"/>
    <col min="11269" max="11269" width="4.375" style="468" customWidth="1"/>
    <col min="11270" max="11270" width="42.25" style="468" customWidth="1"/>
    <col min="11271" max="11271" width="7.75" style="468" customWidth="1"/>
    <col min="11272" max="11272" width="8.25" style="468" customWidth="1"/>
    <col min="11273" max="11273" width="12" style="468" customWidth="1"/>
    <col min="11274" max="11274" width="8.125" style="468" customWidth="1"/>
    <col min="11275" max="11275" width="2.375" style="468" customWidth="1"/>
    <col min="11276" max="11276" width="7.625" style="468" customWidth="1"/>
    <col min="11277" max="11277" width="4.5" style="468" customWidth="1"/>
    <col min="11278" max="11278" width="2.875" style="468" customWidth="1"/>
    <col min="11279" max="11279" width="3" style="468" customWidth="1"/>
    <col min="11280" max="11280" width="7.5" style="468" customWidth="1"/>
    <col min="11281" max="11281" width="10.375" style="468" customWidth="1"/>
    <col min="11282" max="11282" width="4.375" style="468" customWidth="1"/>
    <col min="11283" max="11283" width="11.25" style="468" customWidth="1"/>
    <col min="11284" max="11284" width="21.75" style="468" customWidth="1"/>
    <col min="11285" max="11285" width="25.75" style="468" customWidth="1"/>
    <col min="11286" max="11286" width="55" style="468" customWidth="1"/>
    <col min="11287" max="11508" width="9" style="468"/>
    <col min="11509" max="11509" width="7" style="468" customWidth="1"/>
    <col min="11510" max="11510" width="10.75" style="468" customWidth="1"/>
    <col min="11511" max="11511" width="16.5" style="468" customWidth="1"/>
    <col min="11512" max="11512" width="4.375" style="468" customWidth="1"/>
    <col min="11513" max="11513" width="2.5" style="468" customWidth="1"/>
    <col min="11514" max="11514" width="4.5" style="468" customWidth="1"/>
    <col min="11515" max="11515" width="12.75" style="468" customWidth="1"/>
    <col min="11516" max="11516" width="2.625" style="468" customWidth="1"/>
    <col min="11517" max="11517" width="13.625" style="468" customWidth="1"/>
    <col min="11518" max="11519" width="4.125" style="468" customWidth="1"/>
    <col min="11520" max="11520" width="3.75" style="468" customWidth="1"/>
    <col min="11521" max="11521" width="4.375" style="468" customWidth="1"/>
    <col min="11522" max="11522" width="4.875" style="468" customWidth="1"/>
    <col min="11523" max="11523" width="5" style="468" customWidth="1"/>
    <col min="11524" max="11524" width="4" style="468" customWidth="1"/>
    <col min="11525" max="11525" width="4.375" style="468" customWidth="1"/>
    <col min="11526" max="11526" width="42.25" style="468" customWidth="1"/>
    <col min="11527" max="11527" width="7.75" style="468" customWidth="1"/>
    <col min="11528" max="11528" width="8.25" style="468" customWidth="1"/>
    <col min="11529" max="11529" width="12" style="468" customWidth="1"/>
    <col min="11530" max="11530" width="8.125" style="468" customWidth="1"/>
    <col min="11531" max="11531" width="2.375" style="468" customWidth="1"/>
    <col min="11532" max="11532" width="7.625" style="468" customWidth="1"/>
    <col min="11533" max="11533" width="4.5" style="468" customWidth="1"/>
    <col min="11534" max="11534" width="2.875" style="468" customWidth="1"/>
    <col min="11535" max="11535" width="3" style="468" customWidth="1"/>
    <col min="11536" max="11536" width="7.5" style="468" customWidth="1"/>
    <col min="11537" max="11537" width="10.375" style="468" customWidth="1"/>
    <col min="11538" max="11538" width="4.375" style="468" customWidth="1"/>
    <col min="11539" max="11539" width="11.25" style="468" customWidth="1"/>
    <col min="11540" max="11540" width="21.75" style="468" customWidth="1"/>
    <col min="11541" max="11541" width="25.75" style="468" customWidth="1"/>
    <col min="11542" max="11542" width="55" style="468" customWidth="1"/>
    <col min="11543" max="11764" width="9" style="468"/>
    <col min="11765" max="11765" width="7" style="468" customWidth="1"/>
    <col min="11766" max="11766" width="10.75" style="468" customWidth="1"/>
    <col min="11767" max="11767" width="16.5" style="468" customWidth="1"/>
    <col min="11768" max="11768" width="4.375" style="468" customWidth="1"/>
    <col min="11769" max="11769" width="2.5" style="468" customWidth="1"/>
    <col min="11770" max="11770" width="4.5" style="468" customWidth="1"/>
    <col min="11771" max="11771" width="12.75" style="468" customWidth="1"/>
    <col min="11772" max="11772" width="2.625" style="468" customWidth="1"/>
    <col min="11773" max="11773" width="13.625" style="468" customWidth="1"/>
    <col min="11774" max="11775" width="4.125" style="468" customWidth="1"/>
    <col min="11776" max="11776" width="3.75" style="468" customWidth="1"/>
    <col min="11777" max="11777" width="4.375" style="468" customWidth="1"/>
    <col min="11778" max="11778" width="4.875" style="468" customWidth="1"/>
    <col min="11779" max="11779" width="5" style="468" customWidth="1"/>
    <col min="11780" max="11780" width="4" style="468" customWidth="1"/>
    <col min="11781" max="11781" width="4.375" style="468" customWidth="1"/>
    <col min="11782" max="11782" width="42.25" style="468" customWidth="1"/>
    <col min="11783" max="11783" width="7.75" style="468" customWidth="1"/>
    <col min="11784" max="11784" width="8.25" style="468" customWidth="1"/>
    <col min="11785" max="11785" width="12" style="468" customWidth="1"/>
    <col min="11786" max="11786" width="8.125" style="468" customWidth="1"/>
    <col min="11787" max="11787" width="2.375" style="468" customWidth="1"/>
    <col min="11788" max="11788" width="7.625" style="468" customWidth="1"/>
    <col min="11789" max="11789" width="4.5" style="468" customWidth="1"/>
    <col min="11790" max="11790" width="2.875" style="468" customWidth="1"/>
    <col min="11791" max="11791" width="3" style="468" customWidth="1"/>
    <col min="11792" max="11792" width="7.5" style="468" customWidth="1"/>
    <col min="11793" max="11793" width="10.375" style="468" customWidth="1"/>
    <col min="11794" max="11794" width="4.375" style="468" customWidth="1"/>
    <col min="11795" max="11795" width="11.25" style="468" customWidth="1"/>
    <col min="11796" max="11796" width="21.75" style="468" customWidth="1"/>
    <col min="11797" max="11797" width="25.75" style="468" customWidth="1"/>
    <col min="11798" max="11798" width="55" style="468" customWidth="1"/>
    <col min="11799" max="12020" width="9" style="468"/>
    <col min="12021" max="12021" width="7" style="468" customWidth="1"/>
    <col min="12022" max="12022" width="10.75" style="468" customWidth="1"/>
    <col min="12023" max="12023" width="16.5" style="468" customWidth="1"/>
    <col min="12024" max="12024" width="4.375" style="468" customWidth="1"/>
    <col min="12025" max="12025" width="2.5" style="468" customWidth="1"/>
    <col min="12026" max="12026" width="4.5" style="468" customWidth="1"/>
    <col min="12027" max="12027" width="12.75" style="468" customWidth="1"/>
    <col min="12028" max="12028" width="2.625" style="468" customWidth="1"/>
    <col min="12029" max="12029" width="13.625" style="468" customWidth="1"/>
    <col min="12030" max="12031" width="4.125" style="468" customWidth="1"/>
    <col min="12032" max="12032" width="3.75" style="468" customWidth="1"/>
    <col min="12033" max="12033" width="4.375" style="468" customWidth="1"/>
    <col min="12034" max="12034" width="4.875" style="468" customWidth="1"/>
    <col min="12035" max="12035" width="5" style="468" customWidth="1"/>
    <col min="12036" max="12036" width="4" style="468" customWidth="1"/>
    <col min="12037" max="12037" width="4.375" style="468" customWidth="1"/>
    <col min="12038" max="12038" width="42.25" style="468" customWidth="1"/>
    <col min="12039" max="12039" width="7.75" style="468" customWidth="1"/>
    <col min="12040" max="12040" width="8.25" style="468" customWidth="1"/>
    <col min="12041" max="12041" width="12" style="468" customWidth="1"/>
    <col min="12042" max="12042" width="8.125" style="468" customWidth="1"/>
    <col min="12043" max="12043" width="2.375" style="468" customWidth="1"/>
    <col min="12044" max="12044" width="7.625" style="468" customWidth="1"/>
    <col min="12045" max="12045" width="4.5" style="468" customWidth="1"/>
    <col min="12046" max="12046" width="2.875" style="468" customWidth="1"/>
    <col min="12047" max="12047" width="3" style="468" customWidth="1"/>
    <col min="12048" max="12048" width="7.5" style="468" customWidth="1"/>
    <col min="12049" max="12049" width="10.375" style="468" customWidth="1"/>
    <col min="12050" max="12050" width="4.375" style="468" customWidth="1"/>
    <col min="12051" max="12051" width="11.25" style="468" customWidth="1"/>
    <col min="12052" max="12052" width="21.75" style="468" customWidth="1"/>
    <col min="12053" max="12053" width="25.75" style="468" customWidth="1"/>
    <col min="12054" max="12054" width="55" style="468" customWidth="1"/>
    <col min="12055" max="12276" width="9" style="468"/>
    <col min="12277" max="12277" width="7" style="468" customWidth="1"/>
    <col min="12278" max="12278" width="10.75" style="468" customWidth="1"/>
    <col min="12279" max="12279" width="16.5" style="468" customWidth="1"/>
    <col min="12280" max="12280" width="4.375" style="468" customWidth="1"/>
    <col min="12281" max="12281" width="2.5" style="468" customWidth="1"/>
    <col min="12282" max="12282" width="4.5" style="468" customWidth="1"/>
    <col min="12283" max="12283" width="12.75" style="468" customWidth="1"/>
    <col min="12284" max="12284" width="2.625" style="468" customWidth="1"/>
    <col min="12285" max="12285" width="13.625" style="468" customWidth="1"/>
    <col min="12286" max="12287" width="4.125" style="468" customWidth="1"/>
    <col min="12288" max="12288" width="3.75" style="468" customWidth="1"/>
    <col min="12289" max="12289" width="4.375" style="468" customWidth="1"/>
    <col min="12290" max="12290" width="4.875" style="468" customWidth="1"/>
    <col min="12291" max="12291" width="5" style="468" customWidth="1"/>
    <col min="12292" max="12292" width="4" style="468" customWidth="1"/>
    <col min="12293" max="12293" width="4.375" style="468" customWidth="1"/>
    <col min="12294" max="12294" width="42.25" style="468" customWidth="1"/>
    <col min="12295" max="12295" width="7.75" style="468" customWidth="1"/>
    <col min="12296" max="12296" width="8.25" style="468" customWidth="1"/>
    <col min="12297" max="12297" width="12" style="468" customWidth="1"/>
    <col min="12298" max="12298" width="8.125" style="468" customWidth="1"/>
    <col min="12299" max="12299" width="2.375" style="468" customWidth="1"/>
    <col min="12300" max="12300" width="7.625" style="468" customWidth="1"/>
    <col min="12301" max="12301" width="4.5" style="468" customWidth="1"/>
    <col min="12302" max="12302" width="2.875" style="468" customWidth="1"/>
    <col min="12303" max="12303" width="3" style="468" customWidth="1"/>
    <col min="12304" max="12304" width="7.5" style="468" customWidth="1"/>
    <col min="12305" max="12305" width="10.375" style="468" customWidth="1"/>
    <col min="12306" max="12306" width="4.375" style="468" customWidth="1"/>
    <col min="12307" max="12307" width="11.25" style="468" customWidth="1"/>
    <col min="12308" max="12308" width="21.75" style="468" customWidth="1"/>
    <col min="12309" max="12309" width="25.75" style="468" customWidth="1"/>
    <col min="12310" max="12310" width="55" style="468" customWidth="1"/>
    <col min="12311" max="12532" width="9" style="468"/>
    <col min="12533" max="12533" width="7" style="468" customWidth="1"/>
    <col min="12534" max="12534" width="10.75" style="468" customWidth="1"/>
    <col min="12535" max="12535" width="16.5" style="468" customWidth="1"/>
    <col min="12536" max="12536" width="4.375" style="468" customWidth="1"/>
    <col min="12537" max="12537" width="2.5" style="468" customWidth="1"/>
    <col min="12538" max="12538" width="4.5" style="468" customWidth="1"/>
    <col min="12539" max="12539" width="12.75" style="468" customWidth="1"/>
    <col min="12540" max="12540" width="2.625" style="468" customWidth="1"/>
    <col min="12541" max="12541" width="13.625" style="468" customWidth="1"/>
    <col min="12542" max="12543" width="4.125" style="468" customWidth="1"/>
    <col min="12544" max="12544" width="3.75" style="468" customWidth="1"/>
    <col min="12545" max="12545" width="4.375" style="468" customWidth="1"/>
    <col min="12546" max="12546" width="4.875" style="468" customWidth="1"/>
    <col min="12547" max="12547" width="5" style="468" customWidth="1"/>
    <col min="12548" max="12548" width="4" style="468" customWidth="1"/>
    <col min="12549" max="12549" width="4.375" style="468" customWidth="1"/>
    <col min="12550" max="12550" width="42.25" style="468" customWidth="1"/>
    <col min="12551" max="12551" width="7.75" style="468" customWidth="1"/>
    <col min="12552" max="12552" width="8.25" style="468" customWidth="1"/>
    <col min="12553" max="12553" width="12" style="468" customWidth="1"/>
    <col min="12554" max="12554" width="8.125" style="468" customWidth="1"/>
    <col min="12555" max="12555" width="2.375" style="468" customWidth="1"/>
    <col min="12556" max="12556" width="7.625" style="468" customWidth="1"/>
    <col min="12557" max="12557" width="4.5" style="468" customWidth="1"/>
    <col min="12558" max="12558" width="2.875" style="468" customWidth="1"/>
    <col min="12559" max="12559" width="3" style="468" customWidth="1"/>
    <col min="12560" max="12560" width="7.5" style="468" customWidth="1"/>
    <col min="12561" max="12561" width="10.375" style="468" customWidth="1"/>
    <col min="12562" max="12562" width="4.375" style="468" customWidth="1"/>
    <col min="12563" max="12563" width="11.25" style="468" customWidth="1"/>
    <col min="12564" max="12564" width="21.75" style="468" customWidth="1"/>
    <col min="12565" max="12565" width="25.75" style="468" customWidth="1"/>
    <col min="12566" max="12566" width="55" style="468" customWidth="1"/>
    <col min="12567" max="12788" width="9" style="468"/>
    <col min="12789" max="12789" width="7" style="468" customWidth="1"/>
    <col min="12790" max="12790" width="10.75" style="468" customWidth="1"/>
    <col min="12791" max="12791" width="16.5" style="468" customWidth="1"/>
    <col min="12792" max="12792" width="4.375" style="468" customWidth="1"/>
    <col min="12793" max="12793" width="2.5" style="468" customWidth="1"/>
    <col min="12794" max="12794" width="4.5" style="468" customWidth="1"/>
    <col min="12795" max="12795" width="12.75" style="468" customWidth="1"/>
    <col min="12796" max="12796" width="2.625" style="468" customWidth="1"/>
    <col min="12797" max="12797" width="13.625" style="468" customWidth="1"/>
    <col min="12798" max="12799" width="4.125" style="468" customWidth="1"/>
    <col min="12800" max="12800" width="3.75" style="468" customWidth="1"/>
    <col min="12801" max="12801" width="4.375" style="468" customWidth="1"/>
    <col min="12802" max="12802" width="4.875" style="468" customWidth="1"/>
    <col min="12803" max="12803" width="5" style="468" customWidth="1"/>
    <col min="12804" max="12804" width="4" style="468" customWidth="1"/>
    <col min="12805" max="12805" width="4.375" style="468" customWidth="1"/>
    <col min="12806" max="12806" width="42.25" style="468" customWidth="1"/>
    <col min="12807" max="12807" width="7.75" style="468" customWidth="1"/>
    <col min="12808" max="12808" width="8.25" style="468" customWidth="1"/>
    <col min="12809" max="12809" width="12" style="468" customWidth="1"/>
    <col min="12810" max="12810" width="8.125" style="468" customWidth="1"/>
    <col min="12811" max="12811" width="2.375" style="468" customWidth="1"/>
    <col min="12812" max="12812" width="7.625" style="468" customWidth="1"/>
    <col min="12813" max="12813" width="4.5" style="468" customWidth="1"/>
    <col min="12814" max="12814" width="2.875" style="468" customWidth="1"/>
    <col min="12815" max="12815" width="3" style="468" customWidth="1"/>
    <col min="12816" max="12816" width="7.5" style="468" customWidth="1"/>
    <col min="12817" max="12817" width="10.375" style="468" customWidth="1"/>
    <col min="12818" max="12818" width="4.375" style="468" customWidth="1"/>
    <col min="12819" max="12819" width="11.25" style="468" customWidth="1"/>
    <col min="12820" max="12820" width="21.75" style="468" customWidth="1"/>
    <col min="12821" max="12821" width="25.75" style="468" customWidth="1"/>
    <col min="12822" max="12822" width="55" style="468" customWidth="1"/>
    <col min="12823" max="13044" width="9" style="468"/>
    <col min="13045" max="13045" width="7" style="468" customWidth="1"/>
    <col min="13046" max="13046" width="10.75" style="468" customWidth="1"/>
    <col min="13047" max="13047" width="16.5" style="468" customWidth="1"/>
    <col min="13048" max="13048" width="4.375" style="468" customWidth="1"/>
    <col min="13049" max="13049" width="2.5" style="468" customWidth="1"/>
    <col min="13050" max="13050" width="4.5" style="468" customWidth="1"/>
    <col min="13051" max="13051" width="12.75" style="468" customWidth="1"/>
    <col min="13052" max="13052" width="2.625" style="468" customWidth="1"/>
    <col min="13053" max="13053" width="13.625" style="468" customWidth="1"/>
    <col min="13054" max="13055" width="4.125" style="468" customWidth="1"/>
    <col min="13056" max="13056" width="3.75" style="468" customWidth="1"/>
    <col min="13057" max="13057" width="4.375" style="468" customWidth="1"/>
    <col min="13058" max="13058" width="4.875" style="468" customWidth="1"/>
    <col min="13059" max="13059" width="5" style="468" customWidth="1"/>
    <col min="13060" max="13060" width="4" style="468" customWidth="1"/>
    <col min="13061" max="13061" width="4.375" style="468" customWidth="1"/>
    <col min="13062" max="13062" width="42.25" style="468" customWidth="1"/>
    <col min="13063" max="13063" width="7.75" style="468" customWidth="1"/>
    <col min="13064" max="13064" width="8.25" style="468" customWidth="1"/>
    <col min="13065" max="13065" width="12" style="468" customWidth="1"/>
    <col min="13066" max="13066" width="8.125" style="468" customWidth="1"/>
    <col min="13067" max="13067" width="2.375" style="468" customWidth="1"/>
    <col min="13068" max="13068" width="7.625" style="468" customWidth="1"/>
    <col min="13069" max="13069" width="4.5" style="468" customWidth="1"/>
    <col min="13070" max="13070" width="2.875" style="468" customWidth="1"/>
    <col min="13071" max="13071" width="3" style="468" customWidth="1"/>
    <col min="13072" max="13072" width="7.5" style="468" customWidth="1"/>
    <col min="13073" max="13073" width="10.375" style="468" customWidth="1"/>
    <col min="13074" max="13074" width="4.375" style="468" customWidth="1"/>
    <col min="13075" max="13075" width="11.25" style="468" customWidth="1"/>
    <col min="13076" max="13076" width="21.75" style="468" customWidth="1"/>
    <col min="13077" max="13077" width="25.75" style="468" customWidth="1"/>
    <col min="13078" max="13078" width="55" style="468" customWidth="1"/>
    <col min="13079" max="13300" width="9" style="468"/>
    <col min="13301" max="13301" width="7" style="468" customWidth="1"/>
    <col min="13302" max="13302" width="10.75" style="468" customWidth="1"/>
    <col min="13303" max="13303" width="16.5" style="468" customWidth="1"/>
    <col min="13304" max="13304" width="4.375" style="468" customWidth="1"/>
    <col min="13305" max="13305" width="2.5" style="468" customWidth="1"/>
    <col min="13306" max="13306" width="4.5" style="468" customWidth="1"/>
    <col min="13307" max="13307" width="12.75" style="468" customWidth="1"/>
    <col min="13308" max="13308" width="2.625" style="468" customWidth="1"/>
    <col min="13309" max="13309" width="13.625" style="468" customWidth="1"/>
    <col min="13310" max="13311" width="4.125" style="468" customWidth="1"/>
    <col min="13312" max="13312" width="3.75" style="468" customWidth="1"/>
    <col min="13313" max="13313" width="4.375" style="468" customWidth="1"/>
    <col min="13314" max="13314" width="4.875" style="468" customWidth="1"/>
    <col min="13315" max="13315" width="5" style="468" customWidth="1"/>
    <col min="13316" max="13316" width="4" style="468" customWidth="1"/>
    <col min="13317" max="13317" width="4.375" style="468" customWidth="1"/>
    <col min="13318" max="13318" width="42.25" style="468" customWidth="1"/>
    <col min="13319" max="13319" width="7.75" style="468" customWidth="1"/>
    <col min="13320" max="13320" width="8.25" style="468" customWidth="1"/>
    <col min="13321" max="13321" width="12" style="468" customWidth="1"/>
    <col min="13322" max="13322" width="8.125" style="468" customWidth="1"/>
    <col min="13323" max="13323" width="2.375" style="468" customWidth="1"/>
    <col min="13324" max="13324" width="7.625" style="468" customWidth="1"/>
    <col min="13325" max="13325" width="4.5" style="468" customWidth="1"/>
    <col min="13326" max="13326" width="2.875" style="468" customWidth="1"/>
    <col min="13327" max="13327" width="3" style="468" customWidth="1"/>
    <col min="13328" max="13328" width="7.5" style="468" customWidth="1"/>
    <col min="13329" max="13329" width="10.375" style="468" customWidth="1"/>
    <col min="13330" max="13330" width="4.375" style="468" customWidth="1"/>
    <col min="13331" max="13331" width="11.25" style="468" customWidth="1"/>
    <col min="13332" max="13332" width="21.75" style="468" customWidth="1"/>
    <col min="13333" max="13333" width="25.75" style="468" customWidth="1"/>
    <col min="13334" max="13334" width="55" style="468" customWidth="1"/>
    <col min="13335" max="13556" width="9" style="468"/>
    <col min="13557" max="13557" width="7" style="468" customWidth="1"/>
    <col min="13558" max="13558" width="10.75" style="468" customWidth="1"/>
    <col min="13559" max="13559" width="16.5" style="468" customWidth="1"/>
    <col min="13560" max="13560" width="4.375" style="468" customWidth="1"/>
    <col min="13561" max="13561" width="2.5" style="468" customWidth="1"/>
    <col min="13562" max="13562" width="4.5" style="468" customWidth="1"/>
    <col min="13563" max="13563" width="12.75" style="468" customWidth="1"/>
    <col min="13564" max="13564" width="2.625" style="468" customWidth="1"/>
    <col min="13565" max="13565" width="13.625" style="468" customWidth="1"/>
    <col min="13566" max="13567" width="4.125" style="468" customWidth="1"/>
    <col min="13568" max="13568" width="3.75" style="468" customWidth="1"/>
    <col min="13569" max="13569" width="4.375" style="468" customWidth="1"/>
    <col min="13570" max="13570" width="4.875" style="468" customWidth="1"/>
    <col min="13571" max="13571" width="5" style="468" customWidth="1"/>
    <col min="13572" max="13572" width="4" style="468" customWidth="1"/>
    <col min="13573" max="13573" width="4.375" style="468" customWidth="1"/>
    <col min="13574" max="13574" width="42.25" style="468" customWidth="1"/>
    <col min="13575" max="13575" width="7.75" style="468" customWidth="1"/>
    <col min="13576" max="13576" width="8.25" style="468" customWidth="1"/>
    <col min="13577" max="13577" width="12" style="468" customWidth="1"/>
    <col min="13578" max="13578" width="8.125" style="468" customWidth="1"/>
    <col min="13579" max="13579" width="2.375" style="468" customWidth="1"/>
    <col min="13580" max="13580" width="7.625" style="468" customWidth="1"/>
    <col min="13581" max="13581" width="4.5" style="468" customWidth="1"/>
    <col min="13582" max="13582" width="2.875" style="468" customWidth="1"/>
    <col min="13583" max="13583" width="3" style="468" customWidth="1"/>
    <col min="13584" max="13584" width="7.5" style="468" customWidth="1"/>
    <col min="13585" max="13585" width="10.375" style="468" customWidth="1"/>
    <col min="13586" max="13586" width="4.375" style="468" customWidth="1"/>
    <col min="13587" max="13587" width="11.25" style="468" customWidth="1"/>
    <col min="13588" max="13588" width="21.75" style="468" customWidth="1"/>
    <col min="13589" max="13589" width="25.75" style="468" customWidth="1"/>
    <col min="13590" max="13590" width="55" style="468" customWidth="1"/>
    <col min="13591" max="13812" width="9" style="468"/>
    <col min="13813" max="13813" width="7" style="468" customWidth="1"/>
    <col min="13814" max="13814" width="10.75" style="468" customWidth="1"/>
    <col min="13815" max="13815" width="16.5" style="468" customWidth="1"/>
    <col min="13816" max="13816" width="4.375" style="468" customWidth="1"/>
    <col min="13817" max="13817" width="2.5" style="468" customWidth="1"/>
    <col min="13818" max="13818" width="4.5" style="468" customWidth="1"/>
    <col min="13819" max="13819" width="12.75" style="468" customWidth="1"/>
    <col min="13820" max="13820" width="2.625" style="468" customWidth="1"/>
    <col min="13821" max="13821" width="13.625" style="468" customWidth="1"/>
    <col min="13822" max="13823" width="4.125" style="468" customWidth="1"/>
    <col min="13824" max="13824" width="3.75" style="468" customWidth="1"/>
    <col min="13825" max="13825" width="4.375" style="468" customWidth="1"/>
    <col min="13826" max="13826" width="4.875" style="468" customWidth="1"/>
    <col min="13827" max="13827" width="5" style="468" customWidth="1"/>
    <col min="13828" max="13828" width="4" style="468" customWidth="1"/>
    <col min="13829" max="13829" width="4.375" style="468" customWidth="1"/>
    <col min="13830" max="13830" width="42.25" style="468" customWidth="1"/>
    <col min="13831" max="13831" width="7.75" style="468" customWidth="1"/>
    <col min="13832" max="13832" width="8.25" style="468" customWidth="1"/>
    <col min="13833" max="13833" width="12" style="468" customWidth="1"/>
    <col min="13834" max="13834" width="8.125" style="468" customWidth="1"/>
    <col min="13835" max="13835" width="2.375" style="468" customWidth="1"/>
    <col min="13836" max="13836" width="7.625" style="468" customWidth="1"/>
    <col min="13837" max="13837" width="4.5" style="468" customWidth="1"/>
    <col min="13838" max="13838" width="2.875" style="468" customWidth="1"/>
    <col min="13839" max="13839" width="3" style="468" customWidth="1"/>
    <col min="13840" max="13840" width="7.5" style="468" customWidth="1"/>
    <col min="13841" max="13841" width="10.375" style="468" customWidth="1"/>
    <col min="13842" max="13842" width="4.375" style="468" customWidth="1"/>
    <col min="13843" max="13843" width="11.25" style="468" customWidth="1"/>
    <col min="13844" max="13844" width="21.75" style="468" customWidth="1"/>
    <col min="13845" max="13845" width="25.75" style="468" customWidth="1"/>
    <col min="13846" max="13846" width="55" style="468" customWidth="1"/>
    <col min="13847" max="14068" width="9" style="468"/>
    <col min="14069" max="14069" width="7" style="468" customWidth="1"/>
    <col min="14070" max="14070" width="10.75" style="468" customWidth="1"/>
    <col min="14071" max="14071" width="16.5" style="468" customWidth="1"/>
    <col min="14072" max="14072" width="4.375" style="468" customWidth="1"/>
    <col min="14073" max="14073" width="2.5" style="468" customWidth="1"/>
    <col min="14074" max="14074" width="4.5" style="468" customWidth="1"/>
    <col min="14075" max="14075" width="12.75" style="468" customWidth="1"/>
    <col min="14076" max="14076" width="2.625" style="468" customWidth="1"/>
    <col min="14077" max="14077" width="13.625" style="468" customWidth="1"/>
    <col min="14078" max="14079" width="4.125" style="468" customWidth="1"/>
    <col min="14080" max="14080" width="3.75" style="468" customWidth="1"/>
    <col min="14081" max="14081" width="4.375" style="468" customWidth="1"/>
    <col min="14082" max="14082" width="4.875" style="468" customWidth="1"/>
    <col min="14083" max="14083" width="5" style="468" customWidth="1"/>
    <col min="14084" max="14084" width="4" style="468" customWidth="1"/>
    <col min="14085" max="14085" width="4.375" style="468" customWidth="1"/>
    <col min="14086" max="14086" width="42.25" style="468" customWidth="1"/>
    <col min="14087" max="14087" width="7.75" style="468" customWidth="1"/>
    <col min="14088" max="14088" width="8.25" style="468" customWidth="1"/>
    <col min="14089" max="14089" width="12" style="468" customWidth="1"/>
    <col min="14090" max="14090" width="8.125" style="468" customWidth="1"/>
    <col min="14091" max="14091" width="2.375" style="468" customWidth="1"/>
    <col min="14092" max="14092" width="7.625" style="468" customWidth="1"/>
    <col min="14093" max="14093" width="4.5" style="468" customWidth="1"/>
    <col min="14094" max="14094" width="2.875" style="468" customWidth="1"/>
    <col min="14095" max="14095" width="3" style="468" customWidth="1"/>
    <col min="14096" max="14096" width="7.5" style="468" customWidth="1"/>
    <col min="14097" max="14097" width="10.375" style="468" customWidth="1"/>
    <col min="14098" max="14098" width="4.375" style="468" customWidth="1"/>
    <col min="14099" max="14099" width="11.25" style="468" customWidth="1"/>
    <col min="14100" max="14100" width="21.75" style="468" customWidth="1"/>
    <col min="14101" max="14101" width="25.75" style="468" customWidth="1"/>
    <col min="14102" max="14102" width="55" style="468" customWidth="1"/>
    <col min="14103" max="14324" width="9" style="468"/>
    <col min="14325" max="14325" width="7" style="468" customWidth="1"/>
    <col min="14326" max="14326" width="10.75" style="468" customWidth="1"/>
    <col min="14327" max="14327" width="16.5" style="468" customWidth="1"/>
    <col min="14328" max="14328" width="4.375" style="468" customWidth="1"/>
    <col min="14329" max="14329" width="2.5" style="468" customWidth="1"/>
    <col min="14330" max="14330" width="4.5" style="468" customWidth="1"/>
    <col min="14331" max="14331" width="12.75" style="468" customWidth="1"/>
    <col min="14332" max="14332" width="2.625" style="468" customWidth="1"/>
    <col min="14333" max="14333" width="13.625" style="468" customWidth="1"/>
    <col min="14334" max="14335" width="4.125" style="468" customWidth="1"/>
    <col min="14336" max="14336" width="3.75" style="468" customWidth="1"/>
    <col min="14337" max="14337" width="4.375" style="468" customWidth="1"/>
    <col min="14338" max="14338" width="4.875" style="468" customWidth="1"/>
    <col min="14339" max="14339" width="5" style="468" customWidth="1"/>
    <col min="14340" max="14340" width="4" style="468" customWidth="1"/>
    <col min="14341" max="14341" width="4.375" style="468" customWidth="1"/>
    <col min="14342" max="14342" width="42.25" style="468" customWidth="1"/>
    <col min="14343" max="14343" width="7.75" style="468" customWidth="1"/>
    <col min="14344" max="14344" width="8.25" style="468" customWidth="1"/>
    <col min="14345" max="14345" width="12" style="468" customWidth="1"/>
    <col min="14346" max="14346" width="8.125" style="468" customWidth="1"/>
    <col min="14347" max="14347" width="2.375" style="468" customWidth="1"/>
    <col min="14348" max="14348" width="7.625" style="468" customWidth="1"/>
    <col min="14349" max="14349" width="4.5" style="468" customWidth="1"/>
    <col min="14350" max="14350" width="2.875" style="468" customWidth="1"/>
    <col min="14351" max="14351" width="3" style="468" customWidth="1"/>
    <col min="14352" max="14352" width="7.5" style="468" customWidth="1"/>
    <col min="14353" max="14353" width="10.375" style="468" customWidth="1"/>
    <col min="14354" max="14354" width="4.375" style="468" customWidth="1"/>
    <col min="14355" max="14355" width="11.25" style="468" customWidth="1"/>
    <col min="14356" max="14356" width="21.75" style="468" customWidth="1"/>
    <col min="14357" max="14357" width="25.75" style="468" customWidth="1"/>
    <col min="14358" max="14358" width="55" style="468" customWidth="1"/>
    <col min="14359" max="14580" width="9" style="468"/>
    <col min="14581" max="14581" width="7" style="468" customWidth="1"/>
    <col min="14582" max="14582" width="10.75" style="468" customWidth="1"/>
    <col min="14583" max="14583" width="16.5" style="468" customWidth="1"/>
    <col min="14584" max="14584" width="4.375" style="468" customWidth="1"/>
    <col min="14585" max="14585" width="2.5" style="468" customWidth="1"/>
    <col min="14586" max="14586" width="4.5" style="468" customWidth="1"/>
    <col min="14587" max="14587" width="12.75" style="468" customWidth="1"/>
    <col min="14588" max="14588" width="2.625" style="468" customWidth="1"/>
    <col min="14589" max="14589" width="13.625" style="468" customWidth="1"/>
    <col min="14590" max="14591" width="4.125" style="468" customWidth="1"/>
    <col min="14592" max="14592" width="3.75" style="468" customWidth="1"/>
    <col min="14593" max="14593" width="4.375" style="468" customWidth="1"/>
    <col min="14594" max="14594" width="4.875" style="468" customWidth="1"/>
    <col min="14595" max="14595" width="5" style="468" customWidth="1"/>
    <col min="14596" max="14596" width="4" style="468" customWidth="1"/>
    <col min="14597" max="14597" width="4.375" style="468" customWidth="1"/>
    <col min="14598" max="14598" width="42.25" style="468" customWidth="1"/>
    <col min="14599" max="14599" width="7.75" style="468" customWidth="1"/>
    <col min="14600" max="14600" width="8.25" style="468" customWidth="1"/>
    <col min="14601" max="14601" width="12" style="468" customWidth="1"/>
    <col min="14602" max="14602" width="8.125" style="468" customWidth="1"/>
    <col min="14603" max="14603" width="2.375" style="468" customWidth="1"/>
    <col min="14604" max="14604" width="7.625" style="468" customWidth="1"/>
    <col min="14605" max="14605" width="4.5" style="468" customWidth="1"/>
    <col min="14606" max="14606" width="2.875" style="468" customWidth="1"/>
    <col min="14607" max="14607" width="3" style="468" customWidth="1"/>
    <col min="14608" max="14608" width="7.5" style="468" customWidth="1"/>
    <col min="14609" max="14609" width="10.375" style="468" customWidth="1"/>
    <col min="14610" max="14610" width="4.375" style="468" customWidth="1"/>
    <col min="14611" max="14611" width="11.25" style="468" customWidth="1"/>
    <col min="14612" max="14612" width="21.75" style="468" customWidth="1"/>
    <col min="14613" max="14613" width="25.75" style="468" customWidth="1"/>
    <col min="14614" max="14614" width="55" style="468" customWidth="1"/>
    <col min="14615" max="14836" width="9" style="468"/>
    <col min="14837" max="14837" width="7" style="468" customWidth="1"/>
    <col min="14838" max="14838" width="10.75" style="468" customWidth="1"/>
    <col min="14839" max="14839" width="16.5" style="468" customWidth="1"/>
    <col min="14840" max="14840" width="4.375" style="468" customWidth="1"/>
    <col min="14841" max="14841" width="2.5" style="468" customWidth="1"/>
    <col min="14842" max="14842" width="4.5" style="468" customWidth="1"/>
    <col min="14843" max="14843" width="12.75" style="468" customWidth="1"/>
    <col min="14844" max="14844" width="2.625" style="468" customWidth="1"/>
    <col min="14845" max="14845" width="13.625" style="468" customWidth="1"/>
    <col min="14846" max="14847" width="4.125" style="468" customWidth="1"/>
    <col min="14848" max="14848" width="3.75" style="468" customWidth="1"/>
    <col min="14849" max="14849" width="4.375" style="468" customWidth="1"/>
    <col min="14850" max="14850" width="4.875" style="468" customWidth="1"/>
    <col min="14851" max="14851" width="5" style="468" customWidth="1"/>
    <col min="14852" max="14852" width="4" style="468" customWidth="1"/>
    <col min="14853" max="14853" width="4.375" style="468" customWidth="1"/>
    <col min="14854" max="14854" width="42.25" style="468" customWidth="1"/>
    <col min="14855" max="14855" width="7.75" style="468" customWidth="1"/>
    <col min="14856" max="14856" width="8.25" style="468" customWidth="1"/>
    <col min="14857" max="14857" width="12" style="468" customWidth="1"/>
    <col min="14858" max="14858" width="8.125" style="468" customWidth="1"/>
    <col min="14859" max="14859" width="2.375" style="468" customWidth="1"/>
    <col min="14860" max="14860" width="7.625" style="468" customWidth="1"/>
    <col min="14861" max="14861" width="4.5" style="468" customWidth="1"/>
    <col min="14862" max="14862" width="2.875" style="468" customWidth="1"/>
    <col min="14863" max="14863" width="3" style="468" customWidth="1"/>
    <col min="14864" max="14864" width="7.5" style="468" customWidth="1"/>
    <col min="14865" max="14865" width="10.375" style="468" customWidth="1"/>
    <col min="14866" max="14866" width="4.375" style="468" customWidth="1"/>
    <col min="14867" max="14867" width="11.25" style="468" customWidth="1"/>
    <col min="14868" max="14868" width="21.75" style="468" customWidth="1"/>
    <col min="14869" max="14869" width="25.75" style="468" customWidth="1"/>
    <col min="14870" max="14870" width="55" style="468" customWidth="1"/>
    <col min="14871" max="15092" width="9" style="468"/>
    <col min="15093" max="15093" width="7" style="468" customWidth="1"/>
    <col min="15094" max="15094" width="10.75" style="468" customWidth="1"/>
    <col min="15095" max="15095" width="16.5" style="468" customWidth="1"/>
    <col min="15096" max="15096" width="4.375" style="468" customWidth="1"/>
    <col min="15097" max="15097" width="2.5" style="468" customWidth="1"/>
    <col min="15098" max="15098" width="4.5" style="468" customWidth="1"/>
    <col min="15099" max="15099" width="12.75" style="468" customWidth="1"/>
    <col min="15100" max="15100" width="2.625" style="468" customWidth="1"/>
    <col min="15101" max="15101" width="13.625" style="468" customWidth="1"/>
    <col min="15102" max="15103" width="4.125" style="468" customWidth="1"/>
    <col min="15104" max="15104" width="3.75" style="468" customWidth="1"/>
    <col min="15105" max="15105" width="4.375" style="468" customWidth="1"/>
    <col min="15106" max="15106" width="4.875" style="468" customWidth="1"/>
    <col min="15107" max="15107" width="5" style="468" customWidth="1"/>
    <col min="15108" max="15108" width="4" style="468" customWidth="1"/>
    <col min="15109" max="15109" width="4.375" style="468" customWidth="1"/>
    <col min="15110" max="15110" width="42.25" style="468" customWidth="1"/>
    <col min="15111" max="15111" width="7.75" style="468" customWidth="1"/>
    <col min="15112" max="15112" width="8.25" style="468" customWidth="1"/>
    <col min="15113" max="15113" width="12" style="468" customWidth="1"/>
    <col min="15114" max="15114" width="8.125" style="468" customWidth="1"/>
    <col min="15115" max="15115" width="2.375" style="468" customWidth="1"/>
    <col min="15116" max="15116" width="7.625" style="468" customWidth="1"/>
    <col min="15117" max="15117" width="4.5" style="468" customWidth="1"/>
    <col min="15118" max="15118" width="2.875" style="468" customWidth="1"/>
    <col min="15119" max="15119" width="3" style="468" customWidth="1"/>
    <col min="15120" max="15120" width="7.5" style="468" customWidth="1"/>
    <col min="15121" max="15121" width="10.375" style="468" customWidth="1"/>
    <col min="15122" max="15122" width="4.375" style="468" customWidth="1"/>
    <col min="15123" max="15123" width="11.25" style="468" customWidth="1"/>
    <col min="15124" max="15124" width="21.75" style="468" customWidth="1"/>
    <col min="15125" max="15125" width="25.75" style="468" customWidth="1"/>
    <col min="15126" max="15126" width="55" style="468" customWidth="1"/>
    <col min="15127" max="15348" width="9" style="468"/>
    <col min="15349" max="15349" width="7" style="468" customWidth="1"/>
    <col min="15350" max="15350" width="10.75" style="468" customWidth="1"/>
    <col min="15351" max="15351" width="16.5" style="468" customWidth="1"/>
    <col min="15352" max="15352" width="4.375" style="468" customWidth="1"/>
    <col min="15353" max="15353" width="2.5" style="468" customWidth="1"/>
    <col min="15354" max="15354" width="4.5" style="468" customWidth="1"/>
    <col min="15355" max="15355" width="12.75" style="468" customWidth="1"/>
    <col min="15356" max="15356" width="2.625" style="468" customWidth="1"/>
    <col min="15357" max="15357" width="13.625" style="468" customWidth="1"/>
    <col min="15358" max="15359" width="4.125" style="468" customWidth="1"/>
    <col min="15360" max="15360" width="3.75" style="468" customWidth="1"/>
    <col min="15361" max="15361" width="4.375" style="468" customWidth="1"/>
    <col min="15362" max="15362" width="4.875" style="468" customWidth="1"/>
    <col min="15363" max="15363" width="5" style="468" customWidth="1"/>
    <col min="15364" max="15364" width="4" style="468" customWidth="1"/>
    <col min="15365" max="15365" width="4.375" style="468" customWidth="1"/>
    <col min="15366" max="15366" width="42.25" style="468" customWidth="1"/>
    <col min="15367" max="15367" width="7.75" style="468" customWidth="1"/>
    <col min="15368" max="15368" width="8.25" style="468" customWidth="1"/>
    <col min="15369" max="15369" width="12" style="468" customWidth="1"/>
    <col min="15370" max="15370" width="8.125" style="468" customWidth="1"/>
    <col min="15371" max="15371" width="2.375" style="468" customWidth="1"/>
    <col min="15372" max="15372" width="7.625" style="468" customWidth="1"/>
    <col min="15373" max="15373" width="4.5" style="468" customWidth="1"/>
    <col min="15374" max="15374" width="2.875" style="468" customWidth="1"/>
    <col min="15375" max="15375" width="3" style="468" customWidth="1"/>
    <col min="15376" max="15376" width="7.5" style="468" customWidth="1"/>
    <col min="15377" max="15377" width="10.375" style="468" customWidth="1"/>
    <col min="15378" max="15378" width="4.375" style="468" customWidth="1"/>
    <col min="15379" max="15379" width="11.25" style="468" customWidth="1"/>
    <col min="15380" max="15380" width="21.75" style="468" customWidth="1"/>
    <col min="15381" max="15381" width="25.75" style="468" customWidth="1"/>
    <col min="15382" max="15382" width="55" style="468" customWidth="1"/>
    <col min="15383" max="15604" width="9" style="468"/>
    <col min="15605" max="15605" width="7" style="468" customWidth="1"/>
    <col min="15606" max="15606" width="10.75" style="468" customWidth="1"/>
    <col min="15607" max="15607" width="16.5" style="468" customWidth="1"/>
    <col min="15608" max="15608" width="4.375" style="468" customWidth="1"/>
    <col min="15609" max="15609" width="2.5" style="468" customWidth="1"/>
    <col min="15610" max="15610" width="4.5" style="468" customWidth="1"/>
    <col min="15611" max="15611" width="12.75" style="468" customWidth="1"/>
    <col min="15612" max="15612" width="2.625" style="468" customWidth="1"/>
    <col min="15613" max="15613" width="13.625" style="468" customWidth="1"/>
    <col min="15614" max="15615" width="4.125" style="468" customWidth="1"/>
    <col min="15616" max="15616" width="3.75" style="468" customWidth="1"/>
    <col min="15617" max="15617" width="4.375" style="468" customWidth="1"/>
    <col min="15618" max="15618" width="4.875" style="468" customWidth="1"/>
    <col min="15619" max="15619" width="5" style="468" customWidth="1"/>
    <col min="15620" max="15620" width="4" style="468" customWidth="1"/>
    <col min="15621" max="15621" width="4.375" style="468" customWidth="1"/>
    <col min="15622" max="15622" width="42.25" style="468" customWidth="1"/>
    <col min="15623" max="15623" width="7.75" style="468" customWidth="1"/>
    <col min="15624" max="15624" width="8.25" style="468" customWidth="1"/>
    <col min="15625" max="15625" width="12" style="468" customWidth="1"/>
    <col min="15626" max="15626" width="8.125" style="468" customWidth="1"/>
    <col min="15627" max="15627" width="2.375" style="468" customWidth="1"/>
    <col min="15628" max="15628" width="7.625" style="468" customWidth="1"/>
    <col min="15629" max="15629" width="4.5" style="468" customWidth="1"/>
    <col min="15630" max="15630" width="2.875" style="468" customWidth="1"/>
    <col min="15631" max="15631" width="3" style="468" customWidth="1"/>
    <col min="15632" max="15632" width="7.5" style="468" customWidth="1"/>
    <col min="15633" max="15633" width="10.375" style="468" customWidth="1"/>
    <col min="15634" max="15634" width="4.375" style="468" customWidth="1"/>
    <col min="15635" max="15635" width="11.25" style="468" customWidth="1"/>
    <col min="15636" max="15636" width="21.75" style="468" customWidth="1"/>
    <col min="15637" max="15637" width="25.75" style="468" customWidth="1"/>
    <col min="15638" max="15638" width="55" style="468" customWidth="1"/>
    <col min="15639" max="15860" width="9" style="468"/>
    <col min="15861" max="15861" width="7" style="468" customWidth="1"/>
    <col min="15862" max="15862" width="10.75" style="468" customWidth="1"/>
    <col min="15863" max="15863" width="16.5" style="468" customWidth="1"/>
    <col min="15864" max="15864" width="4.375" style="468" customWidth="1"/>
    <col min="15865" max="15865" width="2.5" style="468" customWidth="1"/>
    <col min="15866" max="15866" width="4.5" style="468" customWidth="1"/>
    <col min="15867" max="15867" width="12.75" style="468" customWidth="1"/>
    <col min="15868" max="15868" width="2.625" style="468" customWidth="1"/>
    <col min="15869" max="15869" width="13.625" style="468" customWidth="1"/>
    <col min="15870" max="15871" width="4.125" style="468" customWidth="1"/>
    <col min="15872" max="15872" width="3.75" style="468" customWidth="1"/>
    <col min="15873" max="15873" width="4.375" style="468" customWidth="1"/>
    <col min="15874" max="15874" width="4.875" style="468" customWidth="1"/>
    <col min="15875" max="15875" width="5" style="468" customWidth="1"/>
    <col min="15876" max="15876" width="4" style="468" customWidth="1"/>
    <col min="15877" max="15877" width="4.375" style="468" customWidth="1"/>
    <col min="15878" max="15878" width="42.25" style="468" customWidth="1"/>
    <col min="15879" max="15879" width="7.75" style="468" customWidth="1"/>
    <col min="15880" max="15880" width="8.25" style="468" customWidth="1"/>
    <col min="15881" max="15881" width="12" style="468" customWidth="1"/>
    <col min="15882" max="15882" width="8.125" style="468" customWidth="1"/>
    <col min="15883" max="15883" width="2.375" style="468" customWidth="1"/>
    <col min="15884" max="15884" width="7.625" style="468" customWidth="1"/>
    <col min="15885" max="15885" width="4.5" style="468" customWidth="1"/>
    <col min="15886" max="15886" width="2.875" style="468" customWidth="1"/>
    <col min="15887" max="15887" width="3" style="468" customWidth="1"/>
    <col min="15888" max="15888" width="7.5" style="468" customWidth="1"/>
    <col min="15889" max="15889" width="10.375" style="468" customWidth="1"/>
    <col min="15890" max="15890" width="4.375" style="468" customWidth="1"/>
    <col min="15891" max="15891" width="11.25" style="468" customWidth="1"/>
    <col min="15892" max="15892" width="21.75" style="468" customWidth="1"/>
    <col min="15893" max="15893" width="25.75" style="468" customWidth="1"/>
    <col min="15894" max="15894" width="55" style="468" customWidth="1"/>
    <col min="15895" max="16116" width="9" style="468"/>
    <col min="16117" max="16117" width="7" style="468" customWidth="1"/>
    <col min="16118" max="16118" width="10.75" style="468" customWidth="1"/>
    <col min="16119" max="16119" width="16.5" style="468" customWidth="1"/>
    <col min="16120" max="16120" width="4.375" style="468" customWidth="1"/>
    <col min="16121" max="16121" width="2.5" style="468" customWidth="1"/>
    <col min="16122" max="16122" width="4.5" style="468" customWidth="1"/>
    <col min="16123" max="16123" width="12.75" style="468" customWidth="1"/>
    <col min="16124" max="16124" width="2.625" style="468" customWidth="1"/>
    <col min="16125" max="16125" width="13.625" style="468" customWidth="1"/>
    <col min="16126" max="16127" width="4.125" style="468" customWidth="1"/>
    <col min="16128" max="16128" width="3.75" style="468" customWidth="1"/>
    <col min="16129" max="16129" width="4.375" style="468" customWidth="1"/>
    <col min="16130" max="16130" width="4.875" style="468" customWidth="1"/>
    <col min="16131" max="16131" width="5" style="468" customWidth="1"/>
    <col min="16132" max="16132" width="4" style="468" customWidth="1"/>
    <col min="16133" max="16133" width="4.375" style="468" customWidth="1"/>
    <col min="16134" max="16134" width="42.25" style="468" customWidth="1"/>
    <col min="16135" max="16135" width="7.75" style="468" customWidth="1"/>
    <col min="16136" max="16136" width="8.25" style="468" customWidth="1"/>
    <col min="16137" max="16137" width="12" style="468" customWidth="1"/>
    <col min="16138" max="16138" width="8.125" style="468" customWidth="1"/>
    <col min="16139" max="16139" width="2.375" style="468" customWidth="1"/>
    <col min="16140" max="16140" width="7.625" style="468" customWidth="1"/>
    <col min="16141" max="16141" width="4.5" style="468" customWidth="1"/>
    <col min="16142" max="16142" width="2.875" style="468" customWidth="1"/>
    <col min="16143" max="16143" width="3" style="468" customWidth="1"/>
    <col min="16144" max="16144" width="7.5" style="468" customWidth="1"/>
    <col min="16145" max="16145" width="10.375" style="468" customWidth="1"/>
    <col min="16146" max="16146" width="4.375" style="468" customWidth="1"/>
    <col min="16147" max="16147" width="11.25" style="468" customWidth="1"/>
    <col min="16148" max="16148" width="21.75" style="468" customWidth="1"/>
    <col min="16149" max="16149" width="25.75" style="468" customWidth="1"/>
    <col min="16150" max="16150" width="55" style="468" customWidth="1"/>
    <col min="16151" max="16372" width="9" style="468"/>
    <col min="16373" max="16384" width="9" style="468" customWidth="1"/>
  </cols>
  <sheetData>
    <row r="1" spans="1:31" s="458" customFormat="1" ht="30.6" customHeight="1">
      <c r="A1" s="1031" t="s">
        <v>730</v>
      </c>
      <c r="B1" s="1031"/>
      <c r="C1" s="1031"/>
      <c r="D1" s="1031"/>
      <c r="E1" s="1031"/>
      <c r="F1" s="1031"/>
      <c r="G1" s="1031"/>
      <c r="H1" s="1031"/>
      <c r="I1" s="1031"/>
      <c r="J1" s="1031"/>
      <c r="K1" s="1031"/>
      <c r="L1" s="1031"/>
      <c r="M1" s="1031"/>
      <c r="N1" s="1031"/>
      <c r="O1" s="1031"/>
      <c r="P1" s="1031"/>
      <c r="Q1" s="1031"/>
      <c r="R1" s="1031"/>
      <c r="S1" s="1031"/>
      <c r="T1" s="1031"/>
      <c r="U1" s="1031"/>
    </row>
    <row r="2" spans="1:31" s="458" customFormat="1" ht="30.6" customHeight="1">
      <c r="A2" s="1032" t="s">
        <v>474</v>
      </c>
      <c r="B2" s="1033"/>
      <c r="C2" s="1033"/>
      <c r="D2" s="1033"/>
      <c r="E2" s="1033"/>
      <c r="F2" s="1033"/>
      <c r="G2" s="1033"/>
      <c r="H2" s="1033"/>
      <c r="I2" s="1033"/>
      <c r="J2" s="1033"/>
      <c r="K2" s="1033"/>
      <c r="L2" s="1033"/>
      <c r="M2" s="1033"/>
      <c r="N2" s="1033"/>
      <c r="O2" s="1033"/>
      <c r="P2" s="1033"/>
      <c r="Q2" s="1033"/>
      <c r="R2" s="1033"/>
      <c r="S2" s="1033"/>
      <c r="T2" s="1033"/>
      <c r="U2" s="1033"/>
    </row>
    <row r="3" spans="1:31" ht="30.6" customHeight="1" thickBot="1">
      <c r="A3" s="459"/>
      <c r="B3" s="460"/>
      <c r="C3" s="460"/>
      <c r="D3" s="460"/>
      <c r="E3" s="460"/>
      <c r="F3" s="460"/>
      <c r="G3" s="461"/>
      <c r="H3" s="462"/>
      <c r="I3" s="463"/>
      <c r="J3" s="464"/>
      <c r="K3" s="464"/>
      <c r="L3" s="464"/>
      <c r="M3" s="464"/>
      <c r="N3" s="464"/>
      <c r="O3" s="464"/>
      <c r="P3" s="465"/>
      <c r="Q3" s="465"/>
      <c r="R3" s="465"/>
      <c r="S3" s="462"/>
      <c r="T3" s="466"/>
      <c r="U3" s="467" t="s">
        <v>731</v>
      </c>
      <c r="AD3" s="468">
        <v>100</v>
      </c>
    </row>
    <row r="4" spans="1:31" s="474" customFormat="1" ht="102" customHeight="1" thickBot="1">
      <c r="A4" s="469" t="s">
        <v>732</v>
      </c>
      <c r="B4" s="470" t="s">
        <v>475</v>
      </c>
      <c r="C4" s="1034" t="s">
        <v>733</v>
      </c>
      <c r="D4" s="1035"/>
      <c r="E4" s="1035"/>
      <c r="F4" s="1036" t="s">
        <v>734</v>
      </c>
      <c r="G4" s="1037"/>
      <c r="H4" s="1037"/>
      <c r="I4" s="1037"/>
      <c r="J4" s="1038"/>
      <c r="K4" s="1039" t="s">
        <v>476</v>
      </c>
      <c r="L4" s="1040"/>
      <c r="M4" s="1036" t="s">
        <v>477</v>
      </c>
      <c r="N4" s="1041"/>
      <c r="O4" s="1041"/>
      <c r="P4" s="1041"/>
      <c r="Q4" s="1041"/>
      <c r="R4" s="1041"/>
      <c r="S4" s="1041"/>
      <c r="T4" s="471" t="s">
        <v>478</v>
      </c>
      <c r="U4" s="472" t="s">
        <v>479</v>
      </c>
      <c r="V4" s="473" t="s">
        <v>545</v>
      </c>
      <c r="W4" s="473" t="s">
        <v>735</v>
      </c>
      <c r="X4" s="473" t="s">
        <v>736</v>
      </c>
      <c r="Y4" s="473" t="s">
        <v>737</v>
      </c>
      <c r="AA4" s="473"/>
      <c r="AB4" s="473"/>
      <c r="AC4" s="473" t="s">
        <v>547</v>
      </c>
      <c r="AD4" s="473" t="s">
        <v>738</v>
      </c>
      <c r="AE4" s="473"/>
    </row>
    <row r="5" spans="1:31" s="478" customFormat="1" ht="57.6" customHeight="1">
      <c r="A5" s="1042" t="s">
        <v>480</v>
      </c>
      <c r="B5" s="1045">
        <v>52</v>
      </c>
      <c r="C5" s="1048">
        <v>42</v>
      </c>
      <c r="D5" s="1051" t="s">
        <v>481</v>
      </c>
      <c r="E5" s="1054">
        <v>62</v>
      </c>
      <c r="F5" s="1027" t="s">
        <v>739</v>
      </c>
      <c r="G5" s="1018">
        <v>20.100000000000001</v>
      </c>
      <c r="H5" s="1011" t="s">
        <v>740</v>
      </c>
      <c r="I5" s="1021" t="s">
        <v>741</v>
      </c>
      <c r="J5" s="1022"/>
      <c r="K5" s="1023">
        <v>15</v>
      </c>
      <c r="L5" s="1024"/>
      <c r="M5" s="1025">
        <v>10</v>
      </c>
      <c r="N5" s="1026"/>
      <c r="O5" s="1026"/>
      <c r="P5" s="475" t="s">
        <v>481</v>
      </c>
      <c r="Q5" s="999">
        <v>20</v>
      </c>
      <c r="R5" s="999"/>
      <c r="S5" s="999"/>
      <c r="T5" s="476">
        <v>6.05</v>
      </c>
      <c r="U5" s="477">
        <v>0.91</v>
      </c>
      <c r="V5" s="478">
        <f>SUM(K5:L16)-B5</f>
        <v>0</v>
      </c>
      <c r="W5" s="478">
        <f>SUM(K5:L8)-G5</f>
        <v>0</v>
      </c>
      <c r="X5" s="478">
        <f>K5-'51規畫比較表-OK'!F6</f>
        <v>0</v>
      </c>
      <c r="Y5" s="478">
        <f>M5-'51規畫比較表-OK'!G6</f>
        <v>0</v>
      </c>
      <c r="Z5" s="478">
        <f>Q5-'51規畫比較表-OK'!I6</f>
        <v>0</v>
      </c>
      <c r="AC5" s="478">
        <f>T5-[10]比較表!K9</f>
        <v>0</v>
      </c>
      <c r="AD5" s="478">
        <f>(T5*K5/$AD$3)-U5</f>
        <v>-2.5000000000000577E-3</v>
      </c>
    </row>
    <row r="6" spans="1:31" s="478" customFormat="1" ht="57.6" customHeight="1">
      <c r="A6" s="1043"/>
      <c r="B6" s="1046"/>
      <c r="C6" s="1049"/>
      <c r="D6" s="1052"/>
      <c r="E6" s="1055"/>
      <c r="F6" s="1027"/>
      <c r="G6" s="1019"/>
      <c r="H6" s="1015"/>
      <c r="I6" s="1008" t="s">
        <v>742</v>
      </c>
      <c r="J6" s="1009"/>
      <c r="K6" s="997">
        <v>2</v>
      </c>
      <c r="L6" s="998"/>
      <c r="M6" s="1016">
        <v>0.1</v>
      </c>
      <c r="N6" s="1017"/>
      <c r="O6" s="1017"/>
      <c r="P6" s="479" t="s">
        <v>481</v>
      </c>
      <c r="Q6" s="999">
        <v>3</v>
      </c>
      <c r="R6" s="999"/>
      <c r="S6" s="999"/>
      <c r="T6" s="476">
        <v>6.05</v>
      </c>
      <c r="U6" s="480">
        <v>0.12</v>
      </c>
      <c r="V6" s="481"/>
      <c r="X6" s="478">
        <f>K6-'51規畫比較表-OK'!F7</f>
        <v>0</v>
      </c>
      <c r="Y6" s="478">
        <f>M6-'51規畫比較表-OK'!G7</f>
        <v>0</v>
      </c>
      <c r="Z6" s="478">
        <f>Q6-'51規畫比較表-OK'!I7</f>
        <v>0</v>
      </c>
      <c r="AC6" s="478">
        <f>T6-[10]比較表!K10</f>
        <v>0</v>
      </c>
      <c r="AD6" s="478">
        <f t="shared" ref="AD6:AD19" si="0">(T6*K6/$AD$3)-U6</f>
        <v>1.0000000000000009E-3</v>
      </c>
    </row>
    <row r="7" spans="1:31" s="478" customFormat="1" ht="57.6" customHeight="1">
      <c r="A7" s="1043"/>
      <c r="B7" s="1046"/>
      <c r="C7" s="1049"/>
      <c r="D7" s="1052"/>
      <c r="E7" s="1055"/>
      <c r="F7" s="1027"/>
      <c r="G7" s="1019"/>
      <c r="H7" s="1010" t="s">
        <v>483</v>
      </c>
      <c r="I7" s="1008" t="s">
        <v>484</v>
      </c>
      <c r="J7" s="1009"/>
      <c r="K7" s="997">
        <v>0.1</v>
      </c>
      <c r="L7" s="998"/>
      <c r="M7" s="1016">
        <v>0</v>
      </c>
      <c r="N7" s="1017"/>
      <c r="O7" s="1017"/>
      <c r="P7" s="479" t="s">
        <v>481</v>
      </c>
      <c r="Q7" s="999">
        <v>1</v>
      </c>
      <c r="R7" s="999"/>
      <c r="S7" s="999"/>
      <c r="T7" s="476">
        <v>6.02</v>
      </c>
      <c r="U7" s="480">
        <v>0.01</v>
      </c>
      <c r="V7" s="481"/>
      <c r="X7" s="478">
        <f>K7-'51規畫比較表-OK'!F8</f>
        <v>0</v>
      </c>
      <c r="Y7" s="478">
        <f>M7-'51規畫比較表-OK'!G8</f>
        <v>0</v>
      </c>
      <c r="Z7" s="478">
        <f>Q7-'51規畫比較表-OK'!I8</f>
        <v>0</v>
      </c>
      <c r="AC7" s="478">
        <f>T7-[10]比較表!K11</f>
        <v>0</v>
      </c>
      <c r="AD7" s="478">
        <f t="shared" si="0"/>
        <v>-3.98E-3</v>
      </c>
    </row>
    <row r="8" spans="1:31" s="478" customFormat="1" ht="57.6" customHeight="1">
      <c r="A8" s="1043"/>
      <c r="B8" s="1046"/>
      <c r="C8" s="1049"/>
      <c r="D8" s="1052"/>
      <c r="E8" s="1055"/>
      <c r="F8" s="1028"/>
      <c r="G8" s="1020"/>
      <c r="H8" s="1015"/>
      <c r="I8" s="1008" t="s">
        <v>485</v>
      </c>
      <c r="J8" s="1009"/>
      <c r="K8" s="997">
        <v>3</v>
      </c>
      <c r="L8" s="998"/>
      <c r="M8" s="1016">
        <v>1</v>
      </c>
      <c r="N8" s="1017"/>
      <c r="O8" s="1017"/>
      <c r="P8" s="479" t="s">
        <v>481</v>
      </c>
      <c r="Q8" s="999">
        <v>6</v>
      </c>
      <c r="R8" s="999"/>
      <c r="S8" s="999"/>
      <c r="T8" s="476">
        <v>6.02</v>
      </c>
      <c r="U8" s="480">
        <v>0.18</v>
      </c>
      <c r="V8" s="481"/>
      <c r="X8" s="478">
        <f>K8-'51規畫比較表-OK'!F9</f>
        <v>0</v>
      </c>
      <c r="Y8" s="478">
        <f>M8-'51規畫比較表-OK'!G9</f>
        <v>0</v>
      </c>
      <c r="Z8" s="478">
        <f>Q8-'51規畫比較表-OK'!I9</f>
        <v>0</v>
      </c>
      <c r="AC8" s="478">
        <f>T8-[10]比較表!K12</f>
        <v>0</v>
      </c>
      <c r="AD8" s="478">
        <f t="shared" si="0"/>
        <v>5.9999999999998943E-4</v>
      </c>
    </row>
    <row r="9" spans="1:31" s="478" customFormat="1" ht="57.6" customHeight="1">
      <c r="A9" s="1043"/>
      <c r="B9" s="1046"/>
      <c r="C9" s="1049"/>
      <c r="D9" s="1052"/>
      <c r="E9" s="1055"/>
      <c r="F9" s="1029" t="s">
        <v>743</v>
      </c>
      <c r="G9" s="1005">
        <v>31.9</v>
      </c>
      <c r="H9" s="1010" t="s">
        <v>740</v>
      </c>
      <c r="I9" s="1008" t="s">
        <v>744</v>
      </c>
      <c r="J9" s="1009"/>
      <c r="K9" s="997">
        <v>6</v>
      </c>
      <c r="L9" s="998"/>
      <c r="M9" s="978">
        <v>4.8</v>
      </c>
      <c r="N9" s="999"/>
      <c r="O9" s="999"/>
      <c r="P9" s="479" t="s">
        <v>481</v>
      </c>
      <c r="Q9" s="999">
        <v>16</v>
      </c>
      <c r="R9" s="999"/>
      <c r="S9" s="999"/>
      <c r="T9" s="476">
        <v>0.48</v>
      </c>
      <c r="U9" s="480">
        <v>0.03</v>
      </c>
      <c r="V9" s="481"/>
      <c r="X9" s="478">
        <f>K9-'51規畫比較表-OK'!F10</f>
        <v>0</v>
      </c>
      <c r="Y9" s="478">
        <f>M9-'51規畫比較表-OK'!G10</f>
        <v>0</v>
      </c>
      <c r="Z9" s="478">
        <f>Q9-'51規畫比較表-OK'!I10</f>
        <v>0</v>
      </c>
      <c r="AC9" s="478">
        <f>T9-[10]比較表!K13</f>
        <v>0</v>
      </c>
      <c r="AD9" s="478">
        <f t="shared" si="0"/>
        <v>-1.1999999999999997E-3</v>
      </c>
    </row>
    <row r="10" spans="1:31" s="478" customFormat="1" ht="57.6" customHeight="1">
      <c r="A10" s="1043"/>
      <c r="B10" s="1046"/>
      <c r="C10" s="1049"/>
      <c r="D10" s="1052"/>
      <c r="E10" s="1055"/>
      <c r="F10" s="1027"/>
      <c r="G10" s="1006"/>
      <c r="H10" s="1011"/>
      <c r="I10" s="1008" t="s">
        <v>486</v>
      </c>
      <c r="J10" s="1009"/>
      <c r="K10" s="997">
        <v>3</v>
      </c>
      <c r="L10" s="998"/>
      <c r="M10" s="978">
        <v>2</v>
      </c>
      <c r="N10" s="999"/>
      <c r="O10" s="999"/>
      <c r="P10" s="479" t="s">
        <v>481</v>
      </c>
      <c r="Q10" s="999">
        <v>14</v>
      </c>
      <c r="R10" s="999"/>
      <c r="S10" s="999"/>
      <c r="T10" s="476">
        <v>0.3659</v>
      </c>
      <c r="U10" s="480">
        <v>0.01</v>
      </c>
      <c r="V10" s="481"/>
      <c r="X10" s="478">
        <f>K10-'51規畫比較表-OK'!F11</f>
        <v>0</v>
      </c>
      <c r="Y10" s="478">
        <f>M10-'51規畫比較表-OK'!G11</f>
        <v>0</v>
      </c>
      <c r="Z10" s="478">
        <f>Q10-'51規畫比較表-OK'!I11</f>
        <v>0</v>
      </c>
      <c r="AC10" s="478">
        <f>T10-[10]比較表!K14</f>
        <v>-4.0999999999999925E-3</v>
      </c>
      <c r="AD10" s="478">
        <f t="shared" si="0"/>
        <v>9.7700000000000044E-4</v>
      </c>
    </row>
    <row r="11" spans="1:31" s="478" customFormat="1" ht="57.6" customHeight="1">
      <c r="A11" s="1043"/>
      <c r="B11" s="1046"/>
      <c r="C11" s="1049"/>
      <c r="D11" s="1052"/>
      <c r="E11" s="1055"/>
      <c r="F11" s="1027"/>
      <c r="G11" s="1006"/>
      <c r="H11" s="1011"/>
      <c r="I11" s="1008" t="s">
        <v>487</v>
      </c>
      <c r="J11" s="1009"/>
      <c r="K11" s="997">
        <v>9.6999999999999993</v>
      </c>
      <c r="L11" s="998"/>
      <c r="M11" s="978">
        <v>5.5</v>
      </c>
      <c r="N11" s="999"/>
      <c r="O11" s="999"/>
      <c r="P11" s="479" t="s">
        <v>481</v>
      </c>
      <c r="Q11" s="999">
        <v>12</v>
      </c>
      <c r="R11" s="999"/>
      <c r="S11" s="999"/>
      <c r="T11" s="476">
        <v>0.98329999999999995</v>
      </c>
      <c r="U11" s="480">
        <v>0.1</v>
      </c>
      <c r="V11" s="481"/>
      <c r="X11" s="478">
        <f>K11-'51規畫比較表-OK'!F12</f>
        <v>0</v>
      </c>
      <c r="Y11" s="478">
        <f>M11-'51規畫比較表-OK'!G12</f>
        <v>0</v>
      </c>
      <c r="Z11" s="478">
        <f>Q11-'51規畫比較表-OK'!I12</f>
        <v>0</v>
      </c>
      <c r="AC11" s="478">
        <f>T11-[10]比較表!K15</f>
        <v>3.2999999999999696E-3</v>
      </c>
      <c r="AD11" s="478">
        <f t="shared" si="0"/>
        <v>-4.619900000000024E-3</v>
      </c>
    </row>
    <row r="12" spans="1:31" s="478" customFormat="1" ht="57.6" customHeight="1">
      <c r="A12" s="1043"/>
      <c r="B12" s="1046"/>
      <c r="C12" s="1049"/>
      <c r="D12" s="1052"/>
      <c r="E12" s="1055"/>
      <c r="F12" s="1027"/>
      <c r="G12" s="1006"/>
      <c r="H12" s="1011"/>
      <c r="I12" s="1008" t="s">
        <v>488</v>
      </c>
      <c r="J12" s="1009"/>
      <c r="K12" s="997">
        <v>0.1</v>
      </c>
      <c r="L12" s="998"/>
      <c r="M12" s="978">
        <v>0</v>
      </c>
      <c r="N12" s="999"/>
      <c r="O12" s="999"/>
      <c r="P12" s="479" t="s">
        <v>481</v>
      </c>
      <c r="Q12" s="999">
        <v>0.12</v>
      </c>
      <c r="R12" s="999"/>
      <c r="S12" s="999"/>
      <c r="T12" s="476">
        <v>0.98</v>
      </c>
      <c r="U12" s="480">
        <v>0</v>
      </c>
      <c r="V12" s="481"/>
      <c r="X12" s="478">
        <f>K12-'51規畫比較表-OK'!F13</f>
        <v>0</v>
      </c>
      <c r="Y12" s="478">
        <f>M12-'51規畫比較表-OK'!G13</f>
        <v>0</v>
      </c>
      <c r="Z12" s="478">
        <f>Q12-'51規畫比較表-OK'!I13</f>
        <v>0</v>
      </c>
      <c r="AC12" s="478">
        <f>T12-[10]比較表!K16</f>
        <v>0</v>
      </c>
      <c r="AD12" s="478">
        <f t="shared" si="0"/>
        <v>9.7999999999999997E-4</v>
      </c>
    </row>
    <row r="13" spans="1:31" s="478" customFormat="1" ht="57.6" customHeight="1">
      <c r="A13" s="1043"/>
      <c r="B13" s="1046"/>
      <c r="C13" s="1049"/>
      <c r="D13" s="1052"/>
      <c r="E13" s="1055"/>
      <c r="F13" s="1027"/>
      <c r="G13" s="1006"/>
      <c r="H13" s="1015"/>
      <c r="I13" s="1008" t="s">
        <v>489</v>
      </c>
      <c r="J13" s="1009"/>
      <c r="K13" s="997">
        <v>0.1</v>
      </c>
      <c r="L13" s="998"/>
      <c r="M13" s="978">
        <v>0</v>
      </c>
      <c r="N13" s="999"/>
      <c r="O13" s="999"/>
      <c r="P13" s="479" t="s">
        <v>481</v>
      </c>
      <c r="Q13" s="999">
        <v>5</v>
      </c>
      <c r="R13" s="999"/>
      <c r="S13" s="999"/>
      <c r="T13" s="476">
        <v>0.98</v>
      </c>
      <c r="U13" s="480">
        <v>0</v>
      </c>
      <c r="V13" s="481"/>
      <c r="X13" s="478">
        <f>K13-'51規畫比較表-OK'!F14</f>
        <v>0</v>
      </c>
      <c r="Y13" s="478">
        <f>M13-'51規畫比較表-OK'!G14</f>
        <v>0</v>
      </c>
      <c r="Z13" s="478">
        <f>Q13-'51規畫比較表-OK'!I14</f>
        <v>0</v>
      </c>
      <c r="AC13" s="478">
        <f>T13-[10]比較表!K17</f>
        <v>0</v>
      </c>
      <c r="AD13" s="478">
        <f t="shared" si="0"/>
        <v>9.7999999999999997E-4</v>
      </c>
    </row>
    <row r="14" spans="1:31" s="478" customFormat="1" ht="57.6" customHeight="1">
      <c r="A14" s="1043"/>
      <c r="B14" s="1046"/>
      <c r="C14" s="1049"/>
      <c r="D14" s="1052"/>
      <c r="E14" s="1055"/>
      <c r="F14" s="1027"/>
      <c r="G14" s="1006"/>
      <c r="H14" s="1010" t="s">
        <v>483</v>
      </c>
      <c r="I14" s="1008" t="s">
        <v>745</v>
      </c>
      <c r="J14" s="1009"/>
      <c r="K14" s="997">
        <v>2.9</v>
      </c>
      <c r="L14" s="998"/>
      <c r="M14" s="978">
        <v>1</v>
      </c>
      <c r="N14" s="999"/>
      <c r="O14" s="999"/>
      <c r="P14" s="479" t="s">
        <v>481</v>
      </c>
      <c r="Q14" s="999">
        <v>14</v>
      </c>
      <c r="R14" s="999"/>
      <c r="S14" s="999"/>
      <c r="T14" s="476">
        <v>0.83</v>
      </c>
      <c r="U14" s="480">
        <v>0.02</v>
      </c>
      <c r="V14" s="481"/>
      <c r="X14" s="478">
        <f>K14-'51規畫比較表-OK'!F15</f>
        <v>0</v>
      </c>
      <c r="Y14" s="478">
        <f>M14-'51規畫比較表-OK'!G15</f>
        <v>0</v>
      </c>
      <c r="Z14" s="478">
        <f>Q14-'51規畫比較表-OK'!I15</f>
        <v>0</v>
      </c>
      <c r="AC14" s="478">
        <f>T14-[10]比較表!K18</f>
        <v>0</v>
      </c>
      <c r="AD14" s="478">
        <f t="shared" si="0"/>
        <v>4.0700000000000007E-3</v>
      </c>
    </row>
    <row r="15" spans="1:31" s="478" customFormat="1" ht="57.6" customHeight="1">
      <c r="A15" s="1043"/>
      <c r="B15" s="1046"/>
      <c r="C15" s="1049"/>
      <c r="D15" s="1052"/>
      <c r="E15" s="1055"/>
      <c r="F15" s="1027"/>
      <c r="G15" s="1006"/>
      <c r="H15" s="1011"/>
      <c r="I15" s="1013" t="s">
        <v>746</v>
      </c>
      <c r="J15" s="1014"/>
      <c r="K15" s="997">
        <v>0.1</v>
      </c>
      <c r="L15" s="998"/>
      <c r="M15" s="978">
        <v>0</v>
      </c>
      <c r="N15" s="999"/>
      <c r="O15" s="999"/>
      <c r="P15" s="479" t="s">
        <v>481</v>
      </c>
      <c r="Q15" s="999">
        <v>0.5</v>
      </c>
      <c r="R15" s="999"/>
      <c r="S15" s="999"/>
      <c r="T15" s="476">
        <v>1.7000999999999999</v>
      </c>
      <c r="U15" s="480">
        <v>0</v>
      </c>
      <c r="V15" s="481"/>
      <c r="X15" s="478">
        <f>K15-'51規畫比較表-OK'!F16</f>
        <v>0</v>
      </c>
      <c r="Y15" s="478">
        <f>M15-'51規畫比較表-OK'!G16</f>
        <v>0</v>
      </c>
      <c r="Z15" s="478">
        <f>Q15-'51規畫比較表-OK'!I16</f>
        <v>0</v>
      </c>
      <c r="AC15" s="478">
        <f>T15-[10]比較表!K19</f>
        <v>9.9999999999988987E-5</v>
      </c>
      <c r="AD15" s="478">
        <f t="shared" si="0"/>
        <v>1.7001E-3</v>
      </c>
    </row>
    <row r="16" spans="1:31" s="478" customFormat="1" ht="57.6" customHeight="1" thickBot="1">
      <c r="A16" s="1044"/>
      <c r="B16" s="1047"/>
      <c r="C16" s="1050"/>
      <c r="D16" s="1053"/>
      <c r="E16" s="1056"/>
      <c r="F16" s="1030"/>
      <c r="G16" s="1007"/>
      <c r="H16" s="1012"/>
      <c r="I16" s="1000" t="s">
        <v>747</v>
      </c>
      <c r="J16" s="1001"/>
      <c r="K16" s="1002">
        <v>10</v>
      </c>
      <c r="L16" s="1003"/>
      <c r="M16" s="965">
        <v>4</v>
      </c>
      <c r="N16" s="1004"/>
      <c r="O16" s="1004"/>
      <c r="P16" s="482" t="s">
        <v>481</v>
      </c>
      <c r="Q16" s="1004">
        <v>25</v>
      </c>
      <c r="R16" s="1004"/>
      <c r="S16" s="1004"/>
      <c r="T16" s="483">
        <v>2.7389000000000001</v>
      </c>
      <c r="U16" s="484">
        <v>0.27</v>
      </c>
      <c r="V16" s="481"/>
      <c r="W16" s="473" t="s">
        <v>748</v>
      </c>
      <c r="X16" s="478">
        <f>K16-'51規畫比較表-OK'!F17</f>
        <v>0</v>
      </c>
      <c r="Y16" s="478">
        <f>M16-'51規畫比較表-OK'!G17</f>
        <v>0</v>
      </c>
      <c r="Z16" s="478">
        <f>Q16-'51規畫比較表-OK'!I17</f>
        <v>0</v>
      </c>
      <c r="AA16" s="473" t="s">
        <v>749</v>
      </c>
      <c r="AB16" s="473" t="s">
        <v>546</v>
      </c>
      <c r="AC16" s="478">
        <f>T16-[10]比較表!K20</f>
        <v>-1.1000000000001009E-3</v>
      </c>
      <c r="AD16" s="478">
        <f t="shared" si="0"/>
        <v>3.8900000000000046E-3</v>
      </c>
    </row>
    <row r="17" spans="1:30" s="478" customFormat="1" ht="57.6" customHeight="1">
      <c r="A17" s="982" t="s">
        <v>490</v>
      </c>
      <c r="B17" s="985">
        <v>48</v>
      </c>
      <c r="C17" s="986">
        <v>38</v>
      </c>
      <c r="D17" s="989" t="s">
        <v>481</v>
      </c>
      <c r="E17" s="992">
        <v>58</v>
      </c>
      <c r="F17" s="995" t="s">
        <v>491</v>
      </c>
      <c r="G17" s="996"/>
      <c r="H17" s="996"/>
      <c r="I17" s="996"/>
      <c r="J17" s="485" t="s">
        <v>492</v>
      </c>
      <c r="K17" s="976">
        <v>15</v>
      </c>
      <c r="L17" s="486">
        <v>13</v>
      </c>
      <c r="M17" s="964">
        <v>6.5</v>
      </c>
      <c r="N17" s="979" t="s">
        <v>493</v>
      </c>
      <c r="O17" s="980">
        <v>28</v>
      </c>
      <c r="P17" s="952">
        <v>6</v>
      </c>
      <c r="Q17" s="953"/>
      <c r="R17" s="487" t="s">
        <v>481</v>
      </c>
      <c r="S17" s="488">
        <v>18</v>
      </c>
      <c r="T17" s="981">
        <v>5.29</v>
      </c>
      <c r="U17" s="950">
        <v>0.79</v>
      </c>
      <c r="V17" s="478">
        <f>SUM(K17:K21)-B17</f>
        <v>0</v>
      </c>
      <c r="W17" s="478">
        <f>SUM(L17:L18)-K17</f>
        <v>0</v>
      </c>
      <c r="X17" s="478">
        <f>L17-'51規畫比較表-OK'!F18</f>
        <v>0</v>
      </c>
      <c r="Y17" s="478">
        <f>P17-'51規畫比較表-OK'!G18</f>
        <v>0</v>
      </c>
      <c r="Z17" s="478">
        <f>S17-'51規畫比較表-OK'!I18</f>
        <v>0</v>
      </c>
      <c r="AA17" s="478">
        <f>SUM(P17:Q18)-M17</f>
        <v>0</v>
      </c>
      <c r="AB17" s="478">
        <f>SUM(S17:S18)-O17</f>
        <v>0</v>
      </c>
      <c r="AC17" s="478">
        <f>T17-[10]比較表!K21</f>
        <v>0</v>
      </c>
      <c r="AD17" s="478">
        <f t="shared" si="0"/>
        <v>3.4999999999999476E-3</v>
      </c>
    </row>
    <row r="18" spans="1:30" s="478" customFormat="1" ht="57.6" customHeight="1">
      <c r="A18" s="983"/>
      <c r="B18" s="985"/>
      <c r="C18" s="987"/>
      <c r="D18" s="990"/>
      <c r="E18" s="993"/>
      <c r="F18" s="954"/>
      <c r="G18" s="955"/>
      <c r="H18" s="955"/>
      <c r="I18" s="955"/>
      <c r="J18" s="489" t="s">
        <v>494</v>
      </c>
      <c r="K18" s="977"/>
      <c r="L18" s="486">
        <v>2</v>
      </c>
      <c r="M18" s="978"/>
      <c r="N18" s="966"/>
      <c r="O18" s="969"/>
      <c r="P18" s="952">
        <v>0.5</v>
      </c>
      <c r="Q18" s="953"/>
      <c r="R18" s="479" t="s">
        <v>481</v>
      </c>
      <c r="S18" s="490">
        <v>10</v>
      </c>
      <c r="T18" s="951"/>
      <c r="U18" s="951"/>
      <c r="V18" s="481"/>
      <c r="X18" s="478">
        <f>L18-'51規畫比較表-OK'!F19</f>
        <v>0</v>
      </c>
      <c r="Y18" s="478">
        <f>P18-'51規畫比較表-OK'!G19</f>
        <v>0</v>
      </c>
      <c r="Z18" s="478">
        <f>S18-'51規畫比較表-OK'!I19</f>
        <v>0</v>
      </c>
      <c r="AC18" s="478">
        <f>T18-[10]比較表!K22</f>
        <v>0</v>
      </c>
    </row>
    <row r="19" spans="1:30" s="478" customFormat="1" ht="57.6" customHeight="1">
      <c r="A19" s="983"/>
      <c r="B19" s="985"/>
      <c r="C19" s="987"/>
      <c r="D19" s="990"/>
      <c r="E19" s="993"/>
      <c r="F19" s="954" t="s">
        <v>495</v>
      </c>
      <c r="G19" s="955"/>
      <c r="H19" s="955"/>
      <c r="I19" s="955"/>
      <c r="J19" s="489" t="s">
        <v>492</v>
      </c>
      <c r="K19" s="960">
        <v>33</v>
      </c>
      <c r="L19" s="486">
        <v>20</v>
      </c>
      <c r="M19" s="963">
        <v>12</v>
      </c>
      <c r="N19" s="966" t="s">
        <v>493</v>
      </c>
      <c r="O19" s="969">
        <v>45</v>
      </c>
      <c r="P19" s="937">
        <v>9</v>
      </c>
      <c r="Q19" s="938"/>
      <c r="R19" s="479" t="s">
        <v>481</v>
      </c>
      <c r="S19" s="490">
        <v>25</v>
      </c>
      <c r="T19" s="972">
        <v>4.8899999999999997</v>
      </c>
      <c r="U19" s="975">
        <v>1.61</v>
      </c>
      <c r="V19" s="481"/>
      <c r="W19" s="478">
        <f>SUM(L19:L21)-K19</f>
        <v>0</v>
      </c>
      <c r="X19" s="478">
        <f>L19-'51規畫比較表-OK'!F20</f>
        <v>0</v>
      </c>
      <c r="Y19" s="478">
        <f>P19-'51規畫比較表-OK'!G20</f>
        <v>0</v>
      </c>
      <c r="Z19" s="478">
        <f>S19-'51規畫比較表-OK'!I20</f>
        <v>0</v>
      </c>
      <c r="AA19" s="478">
        <f>SUM(P19:Q21)-M19</f>
        <v>0</v>
      </c>
      <c r="AB19" s="478">
        <f>SUM(S19:S21)-O19</f>
        <v>0</v>
      </c>
      <c r="AC19" s="478">
        <f>T19-[10]比較表!K23</f>
        <v>0</v>
      </c>
      <c r="AD19" s="478">
        <f t="shared" si="0"/>
        <v>3.6999999999995925E-3</v>
      </c>
    </row>
    <row r="20" spans="1:30" s="478" customFormat="1" ht="57.6" customHeight="1">
      <c r="A20" s="983"/>
      <c r="B20" s="985"/>
      <c r="C20" s="987"/>
      <c r="D20" s="990"/>
      <c r="E20" s="993"/>
      <c r="F20" s="956"/>
      <c r="G20" s="957"/>
      <c r="H20" s="957"/>
      <c r="I20" s="957"/>
      <c r="J20" s="491" t="s">
        <v>743</v>
      </c>
      <c r="K20" s="961"/>
      <c r="L20" s="486">
        <v>7</v>
      </c>
      <c r="M20" s="964"/>
      <c r="N20" s="967"/>
      <c r="O20" s="970"/>
      <c r="P20" s="937">
        <v>1</v>
      </c>
      <c r="Q20" s="938"/>
      <c r="R20" s="492" t="s">
        <v>481</v>
      </c>
      <c r="S20" s="490">
        <v>10</v>
      </c>
      <c r="T20" s="973"/>
      <c r="U20" s="973"/>
      <c r="V20" s="481"/>
      <c r="X20" s="478">
        <f>L20-'51規畫比較表-OK'!F21</f>
        <v>0</v>
      </c>
      <c r="Y20" s="478">
        <f>P20-'51規畫比較表-OK'!G21</f>
        <v>0</v>
      </c>
      <c r="Z20" s="478">
        <f>S20-'51規畫比較表-OK'!I21</f>
        <v>0</v>
      </c>
      <c r="AC20" s="478">
        <f>T20-[10]比較表!K24</f>
        <v>0</v>
      </c>
    </row>
    <row r="21" spans="1:30" s="478" customFormat="1" ht="57.6" customHeight="1" thickBot="1">
      <c r="A21" s="984"/>
      <c r="B21" s="985"/>
      <c r="C21" s="988"/>
      <c r="D21" s="991"/>
      <c r="E21" s="994"/>
      <c r="F21" s="958"/>
      <c r="G21" s="959"/>
      <c r="H21" s="959"/>
      <c r="I21" s="959"/>
      <c r="J21" s="493" t="s">
        <v>496</v>
      </c>
      <c r="K21" s="962"/>
      <c r="L21" s="486">
        <v>6</v>
      </c>
      <c r="M21" s="965"/>
      <c r="N21" s="968"/>
      <c r="O21" s="971"/>
      <c r="P21" s="939">
        <v>2</v>
      </c>
      <c r="Q21" s="940"/>
      <c r="R21" s="482" t="s">
        <v>481</v>
      </c>
      <c r="S21" s="494">
        <v>10</v>
      </c>
      <c r="T21" s="974"/>
      <c r="U21" s="974"/>
      <c r="V21" s="481"/>
      <c r="W21" s="473" t="s">
        <v>750</v>
      </c>
      <c r="X21" s="478">
        <f>L21-'51規畫比較表-OK'!F22</f>
        <v>0</v>
      </c>
      <c r="Y21" s="478">
        <f>P21-'51規畫比較表-OK'!G22</f>
        <v>0</v>
      </c>
      <c r="Z21" s="478">
        <f>S21-'51規畫比較表-OK'!I22</f>
        <v>0</v>
      </c>
      <c r="AC21" s="478">
        <f>T21-[10]比較表!K25</f>
        <v>0</v>
      </c>
    </row>
    <row r="22" spans="1:30" s="478" customFormat="1" ht="57.6" customHeight="1" thickBot="1">
      <c r="A22" s="495" t="s">
        <v>497</v>
      </c>
      <c r="B22" s="496">
        <v>100</v>
      </c>
      <c r="C22" s="941" t="s">
        <v>498</v>
      </c>
      <c r="D22" s="941"/>
      <c r="E22" s="942"/>
      <c r="F22" s="943" t="s">
        <v>61</v>
      </c>
      <c r="G22" s="944"/>
      <c r="H22" s="944"/>
      <c r="I22" s="944"/>
      <c r="J22" s="945"/>
      <c r="K22" s="946">
        <v>100</v>
      </c>
      <c r="L22" s="947"/>
      <c r="M22" s="948" t="s">
        <v>498</v>
      </c>
      <c r="N22" s="949"/>
      <c r="O22" s="949"/>
      <c r="P22" s="949"/>
      <c r="Q22" s="949"/>
      <c r="R22" s="949"/>
      <c r="S22" s="949"/>
      <c r="T22" s="483" t="s">
        <v>498</v>
      </c>
      <c r="U22" s="497">
        <f>SUM(U5:U19)</f>
        <v>4.0500000000000007</v>
      </c>
      <c r="V22" s="481"/>
      <c r="W22" s="478">
        <f>SUM(K5:L16)+SUM(L17:L21)-K22</f>
        <v>0</v>
      </c>
    </row>
    <row r="23" spans="1:30" s="498" customFormat="1" ht="30.6" customHeight="1">
      <c r="A23" s="933" t="s">
        <v>499</v>
      </c>
      <c r="B23" s="934"/>
      <c r="C23" s="934"/>
      <c r="D23" s="934"/>
      <c r="E23" s="934"/>
      <c r="F23" s="934"/>
      <c r="G23" s="934"/>
      <c r="H23" s="934"/>
      <c r="I23" s="934"/>
      <c r="J23" s="934"/>
      <c r="K23" s="934"/>
      <c r="L23" s="934"/>
      <c r="M23" s="934"/>
      <c r="N23" s="934"/>
      <c r="O23" s="934"/>
      <c r="P23" s="934"/>
      <c r="Q23" s="934"/>
      <c r="R23" s="934"/>
      <c r="S23" s="934"/>
      <c r="T23" s="934"/>
      <c r="U23" s="934"/>
    </row>
    <row r="24" spans="1:30" s="498" customFormat="1" ht="30.6" customHeight="1">
      <c r="A24" s="933" t="s">
        <v>751</v>
      </c>
      <c r="B24" s="934"/>
      <c r="C24" s="934"/>
      <c r="D24" s="934"/>
      <c r="E24" s="934"/>
      <c r="F24" s="934"/>
      <c r="G24" s="934"/>
      <c r="H24" s="934"/>
      <c r="I24" s="934"/>
      <c r="J24" s="934"/>
      <c r="K24" s="934" t="s">
        <v>752</v>
      </c>
      <c r="L24" s="934"/>
      <c r="M24" s="934"/>
      <c r="N24" s="934"/>
      <c r="O24" s="934"/>
      <c r="P24" s="934"/>
      <c r="Q24" s="934"/>
      <c r="R24" s="934"/>
      <c r="S24" s="934"/>
      <c r="T24" s="934"/>
      <c r="U24" s="934"/>
    </row>
    <row r="25" spans="1:30" s="498" customFormat="1" ht="30.6" customHeight="1">
      <c r="A25" s="933" t="s">
        <v>753</v>
      </c>
      <c r="B25" s="934"/>
      <c r="C25" s="934"/>
      <c r="D25" s="934"/>
      <c r="E25" s="934"/>
      <c r="F25" s="934"/>
      <c r="G25" s="934"/>
      <c r="H25" s="934"/>
      <c r="I25" s="934"/>
      <c r="J25" s="934"/>
      <c r="K25" s="934"/>
      <c r="L25" s="934"/>
      <c r="M25" s="934"/>
      <c r="N25" s="934"/>
      <c r="O25" s="934"/>
      <c r="P25" s="934"/>
      <c r="Q25" s="934"/>
      <c r="R25" s="934"/>
      <c r="S25" s="934"/>
      <c r="T25" s="934"/>
      <c r="U25" s="934"/>
    </row>
    <row r="26" spans="1:30" s="498" customFormat="1" ht="30.6" customHeight="1">
      <c r="A26" s="933" t="s">
        <v>754</v>
      </c>
      <c r="B26" s="934"/>
      <c r="C26" s="934"/>
      <c r="D26" s="934"/>
      <c r="E26" s="934"/>
      <c r="F26" s="934"/>
      <c r="G26" s="934"/>
      <c r="H26" s="934"/>
      <c r="I26" s="934"/>
      <c r="J26" s="934"/>
      <c r="K26" s="934"/>
      <c r="L26" s="934"/>
      <c r="M26" s="934"/>
      <c r="N26" s="934"/>
      <c r="O26" s="934"/>
      <c r="P26" s="934"/>
      <c r="Q26" s="934"/>
      <c r="R26" s="934"/>
      <c r="S26" s="934"/>
      <c r="T26" s="934"/>
      <c r="U26" s="934"/>
    </row>
    <row r="27" spans="1:30" ht="30.6" customHeight="1">
      <c r="A27" s="935"/>
      <c r="B27" s="936"/>
      <c r="C27" s="936"/>
      <c r="D27" s="936"/>
      <c r="E27" s="936"/>
      <c r="F27" s="936"/>
      <c r="G27" s="936"/>
      <c r="H27" s="936"/>
      <c r="I27" s="936"/>
      <c r="J27" s="936"/>
      <c r="K27" s="936"/>
      <c r="L27" s="936"/>
      <c r="M27" s="936"/>
      <c r="N27" s="936"/>
      <c r="O27" s="936"/>
      <c r="P27" s="936"/>
      <c r="Q27" s="936"/>
      <c r="R27" s="936"/>
      <c r="S27" s="936"/>
      <c r="T27" s="936"/>
      <c r="U27" s="936"/>
    </row>
  </sheetData>
  <mergeCells count="100">
    <mergeCell ref="F5:F8"/>
    <mergeCell ref="F9:F16"/>
    <mergeCell ref="A1:U1"/>
    <mergeCell ref="A2:U2"/>
    <mergeCell ref="C4:E4"/>
    <mergeCell ref="F4:J4"/>
    <mergeCell ref="K4:L4"/>
    <mergeCell ref="M4:S4"/>
    <mergeCell ref="A5:A16"/>
    <mergeCell ref="B5:B16"/>
    <mergeCell ref="C5:C16"/>
    <mergeCell ref="D5:D16"/>
    <mergeCell ref="E5:E16"/>
    <mergeCell ref="Q5:S5"/>
    <mergeCell ref="I6:J6"/>
    <mergeCell ref="K6:L6"/>
    <mergeCell ref="M6:O6"/>
    <mergeCell ref="Q6:S6"/>
    <mergeCell ref="G5:G8"/>
    <mergeCell ref="H5:H6"/>
    <mergeCell ref="I5:J5"/>
    <mergeCell ref="K5:L5"/>
    <mergeCell ref="M5:O5"/>
    <mergeCell ref="H7:H8"/>
    <mergeCell ref="I7:J7"/>
    <mergeCell ref="K7:L7"/>
    <mergeCell ref="M7:O7"/>
    <mergeCell ref="Q7:S7"/>
    <mergeCell ref="I8:J8"/>
    <mergeCell ref="K8:L8"/>
    <mergeCell ref="M8:O8"/>
    <mergeCell ref="Q8:S8"/>
    <mergeCell ref="H9:H13"/>
    <mergeCell ref="I9:J9"/>
    <mergeCell ref="K9:L9"/>
    <mergeCell ref="M9:O9"/>
    <mergeCell ref="Q9:S9"/>
    <mergeCell ref="I10:J10"/>
    <mergeCell ref="I11:J11"/>
    <mergeCell ref="K11:L11"/>
    <mergeCell ref="M11:O11"/>
    <mergeCell ref="Q11:S11"/>
    <mergeCell ref="I12:J12"/>
    <mergeCell ref="K12:L12"/>
    <mergeCell ref="M12:O12"/>
    <mergeCell ref="Q12:S12"/>
    <mergeCell ref="H14:H16"/>
    <mergeCell ref="I14:J14"/>
    <mergeCell ref="K14:L14"/>
    <mergeCell ref="M14:O14"/>
    <mergeCell ref="Q14:S14"/>
    <mergeCell ref="I15:J15"/>
    <mergeCell ref="F17:I18"/>
    <mergeCell ref="K15:L15"/>
    <mergeCell ref="M15:O15"/>
    <mergeCell ref="Q15:S15"/>
    <mergeCell ref="I16:J16"/>
    <mergeCell ref="K16:L16"/>
    <mergeCell ref="M16:O16"/>
    <mergeCell ref="Q16:S16"/>
    <mergeCell ref="G9:G16"/>
    <mergeCell ref="K10:L10"/>
    <mergeCell ref="M10:O10"/>
    <mergeCell ref="Q10:S10"/>
    <mergeCell ref="I13:J13"/>
    <mergeCell ref="K13:L13"/>
    <mergeCell ref="M13:O13"/>
    <mergeCell ref="Q13:S13"/>
    <mergeCell ref="A17:A21"/>
    <mergeCell ref="B17:B21"/>
    <mergeCell ref="C17:C21"/>
    <mergeCell ref="D17:D21"/>
    <mergeCell ref="E17:E21"/>
    <mergeCell ref="U17:U18"/>
    <mergeCell ref="P18:Q18"/>
    <mergeCell ref="F19:I21"/>
    <mergeCell ref="K19:K21"/>
    <mergeCell ref="M19:M21"/>
    <mergeCell ref="N19:N21"/>
    <mergeCell ref="O19:O21"/>
    <mergeCell ref="P19:Q19"/>
    <mergeCell ref="T19:T21"/>
    <mergeCell ref="U19:U21"/>
    <mergeCell ref="K17:K18"/>
    <mergeCell ref="M17:M18"/>
    <mergeCell ref="N17:N18"/>
    <mergeCell ref="O17:O18"/>
    <mergeCell ref="P17:Q17"/>
    <mergeCell ref="T17:T18"/>
    <mergeCell ref="P20:Q20"/>
    <mergeCell ref="P21:Q21"/>
    <mergeCell ref="C22:E22"/>
    <mergeCell ref="F22:J22"/>
    <mergeCell ref="K22:L22"/>
    <mergeCell ref="M22:S22"/>
    <mergeCell ref="A23:U23"/>
    <mergeCell ref="A24:U24"/>
    <mergeCell ref="A25:U25"/>
    <mergeCell ref="A26:U26"/>
    <mergeCell ref="A27:U27"/>
  </mergeCells>
  <phoneticPr fontId="3" type="noConversion"/>
  <pageMargins left="0.39370078740157483" right="0.39370078740157483" top="0.59055118110236227" bottom="0.78740157480314965" header="0.31496062992125984" footer="0.31496062992125984"/>
  <pageSetup paperSize="9" scale="53" fitToHeight="0" orientation="portrait" r:id="rId1"/>
  <drawing r:id="rId2"/>
  <legacyDrawing r:id="rId3"/>
</worksheet>
</file>

<file path=xl/worksheets/sheet53.xml><?xml version="1.0" encoding="utf-8"?>
<worksheet xmlns="http://schemas.openxmlformats.org/spreadsheetml/2006/main" xmlns:r="http://schemas.openxmlformats.org/officeDocument/2006/relationships">
  <sheetPr>
    <tabColor indexed="15"/>
    <pageSetUpPr fitToPage="1"/>
  </sheetPr>
  <dimension ref="A1:M27"/>
  <sheetViews>
    <sheetView view="pageBreakPreview" zoomScale="60" zoomScaleNormal="75" workbookViewId="0">
      <selection activeCell="E20" sqref="E20"/>
    </sheetView>
  </sheetViews>
  <sheetFormatPr defaultRowHeight="16.5"/>
  <cols>
    <col min="1" max="1" width="4.875" customWidth="1"/>
    <col min="2" max="3" width="5.625" customWidth="1"/>
    <col min="4" max="4" width="4.125" customWidth="1"/>
    <col min="5" max="5" width="34.375" customWidth="1"/>
    <col min="6" max="6" width="15.375" customWidth="1"/>
    <col min="7" max="7" width="13.5" customWidth="1"/>
    <col min="8" max="8" width="4.875" customWidth="1"/>
    <col min="9" max="9" width="12.5" customWidth="1"/>
    <col min="10" max="10" width="14.25" style="219" customWidth="1"/>
    <col min="11" max="11" width="16" style="219" customWidth="1"/>
    <col min="247" max="247" width="4" customWidth="1"/>
    <col min="248" max="248" width="4.375" customWidth="1"/>
    <col min="249" max="249" width="4" customWidth="1"/>
    <col min="250" max="250" width="4.125" customWidth="1"/>
    <col min="251" max="251" width="22.25" customWidth="1"/>
    <col min="252" max="253" width="6.125" customWidth="1"/>
    <col min="254" max="254" width="8.75" customWidth="1"/>
    <col min="255" max="255" width="6" customWidth="1"/>
    <col min="256" max="256" width="1.75" customWidth="1"/>
    <col min="257" max="257" width="6.125" customWidth="1"/>
    <col min="258" max="258" width="5.875" customWidth="1"/>
    <col min="259" max="259" width="2.5" customWidth="1"/>
    <col min="260" max="260" width="5.75" customWidth="1"/>
    <col min="261" max="261" width="9.125" bestFit="1" customWidth="1"/>
    <col min="262" max="262" width="2.375" customWidth="1"/>
    <col min="263" max="263" width="8.625" customWidth="1"/>
    <col min="264" max="264" width="8" customWidth="1"/>
    <col min="265" max="265" width="9.75" customWidth="1"/>
    <col min="503" max="503" width="4" customWidth="1"/>
    <col min="504" max="504" width="4.375" customWidth="1"/>
    <col min="505" max="505" width="4" customWidth="1"/>
    <col min="506" max="506" width="4.125" customWidth="1"/>
    <col min="507" max="507" width="22.25" customWidth="1"/>
    <col min="508" max="509" width="6.125" customWidth="1"/>
    <col min="510" max="510" width="8.75" customWidth="1"/>
    <col min="511" max="511" width="6" customWidth="1"/>
    <col min="512" max="512" width="1.75" customWidth="1"/>
    <col min="513" max="513" width="6.125" customWidth="1"/>
    <col min="514" max="514" width="5.875" customWidth="1"/>
    <col min="515" max="515" width="2.5" customWidth="1"/>
    <col min="516" max="516" width="5.75" customWidth="1"/>
    <col min="517" max="517" width="9.125" bestFit="1" customWidth="1"/>
    <col min="518" max="518" width="2.375" customWidth="1"/>
    <col min="519" max="519" width="8.625" customWidth="1"/>
    <col min="520" max="520" width="8" customWidth="1"/>
    <col min="521" max="521" width="9.75" customWidth="1"/>
    <col min="759" max="759" width="4" customWidth="1"/>
    <col min="760" max="760" width="4.375" customWidth="1"/>
    <col min="761" max="761" width="4" customWidth="1"/>
    <col min="762" max="762" width="4.125" customWidth="1"/>
    <col min="763" max="763" width="22.25" customWidth="1"/>
    <col min="764" max="765" width="6.125" customWidth="1"/>
    <col min="766" max="766" width="8.75" customWidth="1"/>
    <col min="767" max="767" width="6" customWidth="1"/>
    <col min="768" max="768" width="1.75" customWidth="1"/>
    <col min="769" max="769" width="6.125" customWidth="1"/>
    <col min="770" max="770" width="5.875" customWidth="1"/>
    <col min="771" max="771" width="2.5" customWidth="1"/>
    <col min="772" max="772" width="5.75" customWidth="1"/>
    <col min="773" max="773" width="9.125" bestFit="1" customWidth="1"/>
    <col min="774" max="774" width="2.375" customWidth="1"/>
    <col min="775" max="775" width="8.625" customWidth="1"/>
    <col min="776" max="776" width="8" customWidth="1"/>
    <col min="777" max="777" width="9.75" customWidth="1"/>
    <col min="1015" max="1015" width="4" customWidth="1"/>
    <col min="1016" max="1016" width="4.375" customWidth="1"/>
    <col min="1017" max="1017" width="4" customWidth="1"/>
    <col min="1018" max="1018" width="4.125" customWidth="1"/>
    <col min="1019" max="1019" width="22.25" customWidth="1"/>
    <col min="1020" max="1021" width="6.125" customWidth="1"/>
    <col min="1022" max="1022" width="8.75" customWidth="1"/>
    <col min="1023" max="1023" width="6" customWidth="1"/>
    <col min="1024" max="1024" width="1.75" customWidth="1"/>
    <col min="1025" max="1025" width="6.125" customWidth="1"/>
    <col min="1026" max="1026" width="5.875" customWidth="1"/>
    <col min="1027" max="1027" width="2.5" customWidth="1"/>
    <col min="1028" max="1028" width="5.75" customWidth="1"/>
    <col min="1029" max="1029" width="9.125" bestFit="1" customWidth="1"/>
    <col min="1030" max="1030" width="2.375" customWidth="1"/>
    <col min="1031" max="1031" width="8.625" customWidth="1"/>
    <col min="1032" max="1032" width="8" customWidth="1"/>
    <col min="1033" max="1033" width="9.75" customWidth="1"/>
    <col min="1271" max="1271" width="4" customWidth="1"/>
    <col min="1272" max="1272" width="4.375" customWidth="1"/>
    <col min="1273" max="1273" width="4" customWidth="1"/>
    <col min="1274" max="1274" width="4.125" customWidth="1"/>
    <col min="1275" max="1275" width="22.25" customWidth="1"/>
    <col min="1276" max="1277" width="6.125" customWidth="1"/>
    <col min="1278" max="1278" width="8.75" customWidth="1"/>
    <col min="1279" max="1279" width="6" customWidth="1"/>
    <col min="1280" max="1280" width="1.75" customWidth="1"/>
    <col min="1281" max="1281" width="6.125" customWidth="1"/>
    <col min="1282" max="1282" width="5.875" customWidth="1"/>
    <col min="1283" max="1283" width="2.5" customWidth="1"/>
    <col min="1284" max="1284" width="5.75" customWidth="1"/>
    <col min="1285" max="1285" width="9.125" bestFit="1" customWidth="1"/>
    <col min="1286" max="1286" width="2.375" customWidth="1"/>
    <col min="1287" max="1287" width="8.625" customWidth="1"/>
    <col min="1288" max="1288" width="8" customWidth="1"/>
    <col min="1289" max="1289" width="9.75" customWidth="1"/>
    <col min="1527" max="1527" width="4" customWidth="1"/>
    <col min="1528" max="1528" width="4.375" customWidth="1"/>
    <col min="1529" max="1529" width="4" customWidth="1"/>
    <col min="1530" max="1530" width="4.125" customWidth="1"/>
    <col min="1531" max="1531" width="22.25" customWidth="1"/>
    <col min="1532" max="1533" width="6.125" customWidth="1"/>
    <col min="1534" max="1534" width="8.75" customWidth="1"/>
    <col min="1535" max="1535" width="6" customWidth="1"/>
    <col min="1536" max="1536" width="1.75" customWidth="1"/>
    <col min="1537" max="1537" width="6.125" customWidth="1"/>
    <col min="1538" max="1538" width="5.875" customWidth="1"/>
    <col min="1539" max="1539" width="2.5" customWidth="1"/>
    <col min="1540" max="1540" width="5.75" customWidth="1"/>
    <col min="1541" max="1541" width="9.125" bestFit="1" customWidth="1"/>
    <col min="1542" max="1542" width="2.375" customWidth="1"/>
    <col min="1543" max="1543" width="8.625" customWidth="1"/>
    <col min="1544" max="1544" width="8" customWidth="1"/>
    <col min="1545" max="1545" width="9.75" customWidth="1"/>
    <col min="1783" max="1783" width="4" customWidth="1"/>
    <col min="1784" max="1784" width="4.375" customWidth="1"/>
    <col min="1785" max="1785" width="4" customWidth="1"/>
    <col min="1786" max="1786" width="4.125" customWidth="1"/>
    <col min="1787" max="1787" width="22.25" customWidth="1"/>
    <col min="1788" max="1789" width="6.125" customWidth="1"/>
    <col min="1790" max="1790" width="8.75" customWidth="1"/>
    <col min="1791" max="1791" width="6" customWidth="1"/>
    <col min="1792" max="1792" width="1.75" customWidth="1"/>
    <col min="1793" max="1793" width="6.125" customWidth="1"/>
    <col min="1794" max="1794" width="5.875" customWidth="1"/>
    <col min="1795" max="1795" width="2.5" customWidth="1"/>
    <col min="1796" max="1796" width="5.75" customWidth="1"/>
    <col min="1797" max="1797" width="9.125" bestFit="1" customWidth="1"/>
    <col min="1798" max="1798" width="2.375" customWidth="1"/>
    <col min="1799" max="1799" width="8.625" customWidth="1"/>
    <col min="1800" max="1800" width="8" customWidth="1"/>
    <col min="1801" max="1801" width="9.75" customWidth="1"/>
    <col min="2039" max="2039" width="4" customWidth="1"/>
    <col min="2040" max="2040" width="4.375" customWidth="1"/>
    <col min="2041" max="2041" width="4" customWidth="1"/>
    <col min="2042" max="2042" width="4.125" customWidth="1"/>
    <col min="2043" max="2043" width="22.25" customWidth="1"/>
    <col min="2044" max="2045" width="6.125" customWidth="1"/>
    <col min="2046" max="2046" width="8.75" customWidth="1"/>
    <col min="2047" max="2047" width="6" customWidth="1"/>
    <col min="2048" max="2048" width="1.75" customWidth="1"/>
    <col min="2049" max="2049" width="6.125" customWidth="1"/>
    <col min="2050" max="2050" width="5.875" customWidth="1"/>
    <col min="2051" max="2051" width="2.5" customWidth="1"/>
    <col min="2052" max="2052" width="5.75" customWidth="1"/>
    <col min="2053" max="2053" width="9.125" bestFit="1" customWidth="1"/>
    <col min="2054" max="2054" width="2.375" customWidth="1"/>
    <col min="2055" max="2055" width="8.625" customWidth="1"/>
    <col min="2056" max="2056" width="8" customWidth="1"/>
    <col min="2057" max="2057" width="9.75" customWidth="1"/>
    <col min="2295" max="2295" width="4" customWidth="1"/>
    <col min="2296" max="2296" width="4.375" customWidth="1"/>
    <col min="2297" max="2297" width="4" customWidth="1"/>
    <col min="2298" max="2298" width="4.125" customWidth="1"/>
    <col min="2299" max="2299" width="22.25" customWidth="1"/>
    <col min="2300" max="2301" width="6.125" customWidth="1"/>
    <col min="2302" max="2302" width="8.75" customWidth="1"/>
    <col min="2303" max="2303" width="6" customWidth="1"/>
    <col min="2304" max="2304" width="1.75" customWidth="1"/>
    <col min="2305" max="2305" width="6.125" customWidth="1"/>
    <col min="2306" max="2306" width="5.875" customWidth="1"/>
    <col min="2307" max="2307" width="2.5" customWidth="1"/>
    <col min="2308" max="2308" width="5.75" customWidth="1"/>
    <col min="2309" max="2309" width="9.125" bestFit="1" customWidth="1"/>
    <col min="2310" max="2310" width="2.375" customWidth="1"/>
    <col min="2311" max="2311" width="8.625" customWidth="1"/>
    <col min="2312" max="2312" width="8" customWidth="1"/>
    <col min="2313" max="2313" width="9.75" customWidth="1"/>
    <col min="2551" max="2551" width="4" customWidth="1"/>
    <col min="2552" max="2552" width="4.375" customWidth="1"/>
    <col min="2553" max="2553" width="4" customWidth="1"/>
    <col min="2554" max="2554" width="4.125" customWidth="1"/>
    <col min="2555" max="2555" width="22.25" customWidth="1"/>
    <col min="2556" max="2557" width="6.125" customWidth="1"/>
    <col min="2558" max="2558" width="8.75" customWidth="1"/>
    <col min="2559" max="2559" width="6" customWidth="1"/>
    <col min="2560" max="2560" width="1.75" customWidth="1"/>
    <col min="2561" max="2561" width="6.125" customWidth="1"/>
    <col min="2562" max="2562" width="5.875" customWidth="1"/>
    <col min="2563" max="2563" width="2.5" customWidth="1"/>
    <col min="2564" max="2564" width="5.75" customWidth="1"/>
    <col min="2565" max="2565" width="9.125" bestFit="1" customWidth="1"/>
    <col min="2566" max="2566" width="2.375" customWidth="1"/>
    <col min="2567" max="2567" width="8.625" customWidth="1"/>
    <col min="2568" max="2568" width="8" customWidth="1"/>
    <col min="2569" max="2569" width="9.75" customWidth="1"/>
    <col min="2807" max="2807" width="4" customWidth="1"/>
    <col min="2808" max="2808" width="4.375" customWidth="1"/>
    <col min="2809" max="2809" width="4" customWidth="1"/>
    <col min="2810" max="2810" width="4.125" customWidth="1"/>
    <col min="2811" max="2811" width="22.25" customWidth="1"/>
    <col min="2812" max="2813" width="6.125" customWidth="1"/>
    <col min="2814" max="2814" width="8.75" customWidth="1"/>
    <col min="2815" max="2815" width="6" customWidth="1"/>
    <col min="2816" max="2816" width="1.75" customWidth="1"/>
    <col min="2817" max="2817" width="6.125" customWidth="1"/>
    <col min="2818" max="2818" width="5.875" customWidth="1"/>
    <col min="2819" max="2819" width="2.5" customWidth="1"/>
    <col min="2820" max="2820" width="5.75" customWidth="1"/>
    <col min="2821" max="2821" width="9.125" bestFit="1" customWidth="1"/>
    <col min="2822" max="2822" width="2.375" customWidth="1"/>
    <col min="2823" max="2823" width="8.625" customWidth="1"/>
    <col min="2824" max="2824" width="8" customWidth="1"/>
    <col min="2825" max="2825" width="9.75" customWidth="1"/>
    <col min="3063" max="3063" width="4" customWidth="1"/>
    <col min="3064" max="3064" width="4.375" customWidth="1"/>
    <col min="3065" max="3065" width="4" customWidth="1"/>
    <col min="3066" max="3066" width="4.125" customWidth="1"/>
    <col min="3067" max="3067" width="22.25" customWidth="1"/>
    <col min="3068" max="3069" width="6.125" customWidth="1"/>
    <col min="3070" max="3070" width="8.75" customWidth="1"/>
    <col min="3071" max="3071" width="6" customWidth="1"/>
    <col min="3072" max="3072" width="1.75" customWidth="1"/>
    <col min="3073" max="3073" width="6.125" customWidth="1"/>
    <col min="3074" max="3074" width="5.875" customWidth="1"/>
    <col min="3075" max="3075" width="2.5" customWidth="1"/>
    <col min="3076" max="3076" width="5.75" customWidth="1"/>
    <col min="3077" max="3077" width="9.125" bestFit="1" customWidth="1"/>
    <col min="3078" max="3078" width="2.375" customWidth="1"/>
    <col min="3079" max="3079" width="8.625" customWidth="1"/>
    <col min="3080" max="3080" width="8" customWidth="1"/>
    <col min="3081" max="3081" width="9.75" customWidth="1"/>
    <col min="3319" max="3319" width="4" customWidth="1"/>
    <col min="3320" max="3320" width="4.375" customWidth="1"/>
    <col min="3321" max="3321" width="4" customWidth="1"/>
    <col min="3322" max="3322" width="4.125" customWidth="1"/>
    <col min="3323" max="3323" width="22.25" customWidth="1"/>
    <col min="3324" max="3325" width="6.125" customWidth="1"/>
    <col min="3326" max="3326" width="8.75" customWidth="1"/>
    <col min="3327" max="3327" width="6" customWidth="1"/>
    <col min="3328" max="3328" width="1.75" customWidth="1"/>
    <col min="3329" max="3329" width="6.125" customWidth="1"/>
    <col min="3330" max="3330" width="5.875" customWidth="1"/>
    <col min="3331" max="3331" width="2.5" customWidth="1"/>
    <col min="3332" max="3332" width="5.75" customWidth="1"/>
    <col min="3333" max="3333" width="9.125" bestFit="1" customWidth="1"/>
    <col min="3334" max="3334" width="2.375" customWidth="1"/>
    <col min="3335" max="3335" width="8.625" customWidth="1"/>
    <col min="3336" max="3336" width="8" customWidth="1"/>
    <col min="3337" max="3337" width="9.75" customWidth="1"/>
    <col min="3575" max="3575" width="4" customWidth="1"/>
    <col min="3576" max="3576" width="4.375" customWidth="1"/>
    <col min="3577" max="3577" width="4" customWidth="1"/>
    <col min="3578" max="3578" width="4.125" customWidth="1"/>
    <col min="3579" max="3579" width="22.25" customWidth="1"/>
    <col min="3580" max="3581" width="6.125" customWidth="1"/>
    <col min="3582" max="3582" width="8.75" customWidth="1"/>
    <col min="3583" max="3583" width="6" customWidth="1"/>
    <col min="3584" max="3584" width="1.75" customWidth="1"/>
    <col min="3585" max="3585" width="6.125" customWidth="1"/>
    <col min="3586" max="3586" width="5.875" customWidth="1"/>
    <col min="3587" max="3587" width="2.5" customWidth="1"/>
    <col min="3588" max="3588" width="5.75" customWidth="1"/>
    <col min="3589" max="3589" width="9.125" bestFit="1" customWidth="1"/>
    <col min="3590" max="3590" width="2.375" customWidth="1"/>
    <col min="3591" max="3591" width="8.625" customWidth="1"/>
    <col min="3592" max="3592" width="8" customWidth="1"/>
    <col min="3593" max="3593" width="9.75" customWidth="1"/>
    <col min="3831" max="3831" width="4" customWidth="1"/>
    <col min="3832" max="3832" width="4.375" customWidth="1"/>
    <col min="3833" max="3833" width="4" customWidth="1"/>
    <col min="3834" max="3834" width="4.125" customWidth="1"/>
    <col min="3835" max="3835" width="22.25" customWidth="1"/>
    <col min="3836" max="3837" width="6.125" customWidth="1"/>
    <col min="3838" max="3838" width="8.75" customWidth="1"/>
    <col min="3839" max="3839" width="6" customWidth="1"/>
    <col min="3840" max="3840" width="1.75" customWidth="1"/>
    <col min="3841" max="3841" width="6.125" customWidth="1"/>
    <col min="3842" max="3842" width="5.875" customWidth="1"/>
    <col min="3843" max="3843" width="2.5" customWidth="1"/>
    <col min="3844" max="3844" width="5.75" customWidth="1"/>
    <col min="3845" max="3845" width="9.125" bestFit="1" customWidth="1"/>
    <col min="3846" max="3846" width="2.375" customWidth="1"/>
    <col min="3847" max="3847" width="8.625" customWidth="1"/>
    <col min="3848" max="3848" width="8" customWidth="1"/>
    <col min="3849" max="3849" width="9.75" customWidth="1"/>
    <col min="4087" max="4087" width="4" customWidth="1"/>
    <col min="4088" max="4088" width="4.375" customWidth="1"/>
    <col min="4089" max="4089" width="4" customWidth="1"/>
    <col min="4090" max="4090" width="4.125" customWidth="1"/>
    <col min="4091" max="4091" width="22.25" customWidth="1"/>
    <col min="4092" max="4093" width="6.125" customWidth="1"/>
    <col min="4094" max="4094" width="8.75" customWidth="1"/>
    <col min="4095" max="4095" width="6" customWidth="1"/>
    <col min="4096" max="4096" width="1.75" customWidth="1"/>
    <col min="4097" max="4097" width="6.125" customWidth="1"/>
    <col min="4098" max="4098" width="5.875" customWidth="1"/>
    <col min="4099" max="4099" width="2.5" customWidth="1"/>
    <col min="4100" max="4100" width="5.75" customWidth="1"/>
    <col min="4101" max="4101" width="9.125" bestFit="1" customWidth="1"/>
    <col min="4102" max="4102" width="2.375" customWidth="1"/>
    <col min="4103" max="4103" width="8.625" customWidth="1"/>
    <col min="4104" max="4104" width="8" customWidth="1"/>
    <col min="4105" max="4105" width="9.75" customWidth="1"/>
    <col min="4343" max="4343" width="4" customWidth="1"/>
    <col min="4344" max="4344" width="4.375" customWidth="1"/>
    <col min="4345" max="4345" width="4" customWidth="1"/>
    <col min="4346" max="4346" width="4.125" customWidth="1"/>
    <col min="4347" max="4347" width="22.25" customWidth="1"/>
    <col min="4348" max="4349" width="6.125" customWidth="1"/>
    <col min="4350" max="4350" width="8.75" customWidth="1"/>
    <col min="4351" max="4351" width="6" customWidth="1"/>
    <col min="4352" max="4352" width="1.75" customWidth="1"/>
    <col min="4353" max="4353" width="6.125" customWidth="1"/>
    <col min="4354" max="4354" width="5.875" customWidth="1"/>
    <col min="4355" max="4355" width="2.5" customWidth="1"/>
    <col min="4356" max="4356" width="5.75" customWidth="1"/>
    <col min="4357" max="4357" width="9.125" bestFit="1" customWidth="1"/>
    <col min="4358" max="4358" width="2.375" customWidth="1"/>
    <col min="4359" max="4359" width="8.625" customWidth="1"/>
    <col min="4360" max="4360" width="8" customWidth="1"/>
    <col min="4361" max="4361" width="9.75" customWidth="1"/>
    <col min="4599" max="4599" width="4" customWidth="1"/>
    <col min="4600" max="4600" width="4.375" customWidth="1"/>
    <col min="4601" max="4601" width="4" customWidth="1"/>
    <col min="4602" max="4602" width="4.125" customWidth="1"/>
    <col min="4603" max="4603" width="22.25" customWidth="1"/>
    <col min="4604" max="4605" width="6.125" customWidth="1"/>
    <col min="4606" max="4606" width="8.75" customWidth="1"/>
    <col min="4607" max="4607" width="6" customWidth="1"/>
    <col min="4608" max="4608" width="1.75" customWidth="1"/>
    <col min="4609" max="4609" width="6.125" customWidth="1"/>
    <col min="4610" max="4610" width="5.875" customWidth="1"/>
    <col min="4611" max="4611" width="2.5" customWidth="1"/>
    <col min="4612" max="4612" width="5.75" customWidth="1"/>
    <col min="4613" max="4613" width="9.125" bestFit="1" customWidth="1"/>
    <col min="4614" max="4614" width="2.375" customWidth="1"/>
    <col min="4615" max="4615" width="8.625" customWidth="1"/>
    <col min="4616" max="4616" width="8" customWidth="1"/>
    <col min="4617" max="4617" width="9.75" customWidth="1"/>
    <col min="4855" max="4855" width="4" customWidth="1"/>
    <col min="4856" max="4856" width="4.375" customWidth="1"/>
    <col min="4857" max="4857" width="4" customWidth="1"/>
    <col min="4858" max="4858" width="4.125" customWidth="1"/>
    <col min="4859" max="4859" width="22.25" customWidth="1"/>
    <col min="4860" max="4861" width="6.125" customWidth="1"/>
    <col min="4862" max="4862" width="8.75" customWidth="1"/>
    <col min="4863" max="4863" width="6" customWidth="1"/>
    <col min="4864" max="4864" width="1.75" customWidth="1"/>
    <col min="4865" max="4865" width="6.125" customWidth="1"/>
    <col min="4866" max="4866" width="5.875" customWidth="1"/>
    <col min="4867" max="4867" width="2.5" customWidth="1"/>
    <col min="4868" max="4868" width="5.75" customWidth="1"/>
    <col min="4869" max="4869" width="9.125" bestFit="1" customWidth="1"/>
    <col min="4870" max="4870" width="2.375" customWidth="1"/>
    <col min="4871" max="4871" width="8.625" customWidth="1"/>
    <col min="4872" max="4872" width="8" customWidth="1"/>
    <col min="4873" max="4873" width="9.75" customWidth="1"/>
    <col min="5111" max="5111" width="4" customWidth="1"/>
    <col min="5112" max="5112" width="4.375" customWidth="1"/>
    <col min="5113" max="5113" width="4" customWidth="1"/>
    <col min="5114" max="5114" width="4.125" customWidth="1"/>
    <col min="5115" max="5115" width="22.25" customWidth="1"/>
    <col min="5116" max="5117" width="6.125" customWidth="1"/>
    <col min="5118" max="5118" width="8.75" customWidth="1"/>
    <col min="5119" max="5119" width="6" customWidth="1"/>
    <col min="5120" max="5120" width="1.75" customWidth="1"/>
    <col min="5121" max="5121" width="6.125" customWidth="1"/>
    <col min="5122" max="5122" width="5.875" customWidth="1"/>
    <col min="5123" max="5123" width="2.5" customWidth="1"/>
    <col min="5124" max="5124" width="5.75" customWidth="1"/>
    <col min="5125" max="5125" width="9.125" bestFit="1" customWidth="1"/>
    <col min="5126" max="5126" width="2.375" customWidth="1"/>
    <col min="5127" max="5127" width="8.625" customWidth="1"/>
    <col min="5128" max="5128" width="8" customWidth="1"/>
    <col min="5129" max="5129" width="9.75" customWidth="1"/>
    <col min="5367" max="5367" width="4" customWidth="1"/>
    <col min="5368" max="5368" width="4.375" customWidth="1"/>
    <col min="5369" max="5369" width="4" customWidth="1"/>
    <col min="5370" max="5370" width="4.125" customWidth="1"/>
    <col min="5371" max="5371" width="22.25" customWidth="1"/>
    <col min="5372" max="5373" width="6.125" customWidth="1"/>
    <col min="5374" max="5374" width="8.75" customWidth="1"/>
    <col min="5375" max="5375" width="6" customWidth="1"/>
    <col min="5376" max="5376" width="1.75" customWidth="1"/>
    <col min="5377" max="5377" width="6.125" customWidth="1"/>
    <col min="5378" max="5378" width="5.875" customWidth="1"/>
    <col min="5379" max="5379" width="2.5" customWidth="1"/>
    <col min="5380" max="5380" width="5.75" customWidth="1"/>
    <col min="5381" max="5381" width="9.125" bestFit="1" customWidth="1"/>
    <col min="5382" max="5382" width="2.375" customWidth="1"/>
    <col min="5383" max="5383" width="8.625" customWidth="1"/>
    <col min="5384" max="5384" width="8" customWidth="1"/>
    <col min="5385" max="5385" width="9.75" customWidth="1"/>
    <col min="5623" max="5623" width="4" customWidth="1"/>
    <col min="5624" max="5624" width="4.375" customWidth="1"/>
    <col min="5625" max="5625" width="4" customWidth="1"/>
    <col min="5626" max="5626" width="4.125" customWidth="1"/>
    <col min="5627" max="5627" width="22.25" customWidth="1"/>
    <col min="5628" max="5629" width="6.125" customWidth="1"/>
    <col min="5630" max="5630" width="8.75" customWidth="1"/>
    <col min="5631" max="5631" width="6" customWidth="1"/>
    <col min="5632" max="5632" width="1.75" customWidth="1"/>
    <col min="5633" max="5633" width="6.125" customWidth="1"/>
    <col min="5634" max="5634" width="5.875" customWidth="1"/>
    <col min="5635" max="5635" width="2.5" customWidth="1"/>
    <col min="5636" max="5636" width="5.75" customWidth="1"/>
    <col min="5637" max="5637" width="9.125" bestFit="1" customWidth="1"/>
    <col min="5638" max="5638" width="2.375" customWidth="1"/>
    <col min="5639" max="5639" width="8.625" customWidth="1"/>
    <col min="5640" max="5640" width="8" customWidth="1"/>
    <col min="5641" max="5641" width="9.75" customWidth="1"/>
    <col min="5879" max="5879" width="4" customWidth="1"/>
    <col min="5880" max="5880" width="4.375" customWidth="1"/>
    <col min="5881" max="5881" width="4" customWidth="1"/>
    <col min="5882" max="5882" width="4.125" customWidth="1"/>
    <col min="5883" max="5883" width="22.25" customWidth="1"/>
    <col min="5884" max="5885" width="6.125" customWidth="1"/>
    <col min="5886" max="5886" width="8.75" customWidth="1"/>
    <col min="5887" max="5887" width="6" customWidth="1"/>
    <col min="5888" max="5888" width="1.75" customWidth="1"/>
    <col min="5889" max="5889" width="6.125" customWidth="1"/>
    <col min="5890" max="5890" width="5.875" customWidth="1"/>
    <col min="5891" max="5891" width="2.5" customWidth="1"/>
    <col min="5892" max="5892" width="5.75" customWidth="1"/>
    <col min="5893" max="5893" width="9.125" bestFit="1" customWidth="1"/>
    <col min="5894" max="5894" width="2.375" customWidth="1"/>
    <col min="5895" max="5895" width="8.625" customWidth="1"/>
    <col min="5896" max="5896" width="8" customWidth="1"/>
    <col min="5897" max="5897" width="9.75" customWidth="1"/>
    <col min="6135" max="6135" width="4" customWidth="1"/>
    <col min="6136" max="6136" width="4.375" customWidth="1"/>
    <col min="6137" max="6137" width="4" customWidth="1"/>
    <col min="6138" max="6138" width="4.125" customWidth="1"/>
    <col min="6139" max="6139" width="22.25" customWidth="1"/>
    <col min="6140" max="6141" width="6.125" customWidth="1"/>
    <col min="6142" max="6142" width="8.75" customWidth="1"/>
    <col min="6143" max="6143" width="6" customWidth="1"/>
    <col min="6144" max="6144" width="1.75" customWidth="1"/>
    <col min="6145" max="6145" width="6.125" customWidth="1"/>
    <col min="6146" max="6146" width="5.875" customWidth="1"/>
    <col min="6147" max="6147" width="2.5" customWidth="1"/>
    <col min="6148" max="6148" width="5.75" customWidth="1"/>
    <col min="6149" max="6149" width="9.125" bestFit="1" customWidth="1"/>
    <col min="6150" max="6150" width="2.375" customWidth="1"/>
    <col min="6151" max="6151" width="8.625" customWidth="1"/>
    <col min="6152" max="6152" width="8" customWidth="1"/>
    <col min="6153" max="6153" width="9.75" customWidth="1"/>
    <col min="6391" max="6391" width="4" customWidth="1"/>
    <col min="6392" max="6392" width="4.375" customWidth="1"/>
    <col min="6393" max="6393" width="4" customWidth="1"/>
    <col min="6394" max="6394" width="4.125" customWidth="1"/>
    <col min="6395" max="6395" width="22.25" customWidth="1"/>
    <col min="6396" max="6397" width="6.125" customWidth="1"/>
    <col min="6398" max="6398" width="8.75" customWidth="1"/>
    <col min="6399" max="6399" width="6" customWidth="1"/>
    <col min="6400" max="6400" width="1.75" customWidth="1"/>
    <col min="6401" max="6401" width="6.125" customWidth="1"/>
    <col min="6402" max="6402" width="5.875" customWidth="1"/>
    <col min="6403" max="6403" width="2.5" customWidth="1"/>
    <col min="6404" max="6404" width="5.75" customWidth="1"/>
    <col min="6405" max="6405" width="9.125" bestFit="1" customWidth="1"/>
    <col min="6406" max="6406" width="2.375" customWidth="1"/>
    <col min="6407" max="6407" width="8.625" customWidth="1"/>
    <col min="6408" max="6408" width="8" customWidth="1"/>
    <col min="6409" max="6409" width="9.75" customWidth="1"/>
    <col min="6647" max="6647" width="4" customWidth="1"/>
    <col min="6648" max="6648" width="4.375" customWidth="1"/>
    <col min="6649" max="6649" width="4" customWidth="1"/>
    <col min="6650" max="6650" width="4.125" customWidth="1"/>
    <col min="6651" max="6651" width="22.25" customWidth="1"/>
    <col min="6652" max="6653" width="6.125" customWidth="1"/>
    <col min="6654" max="6654" width="8.75" customWidth="1"/>
    <col min="6655" max="6655" width="6" customWidth="1"/>
    <col min="6656" max="6656" width="1.75" customWidth="1"/>
    <col min="6657" max="6657" width="6.125" customWidth="1"/>
    <col min="6658" max="6658" width="5.875" customWidth="1"/>
    <col min="6659" max="6659" width="2.5" customWidth="1"/>
    <col min="6660" max="6660" width="5.75" customWidth="1"/>
    <col min="6661" max="6661" width="9.125" bestFit="1" customWidth="1"/>
    <col min="6662" max="6662" width="2.375" customWidth="1"/>
    <col min="6663" max="6663" width="8.625" customWidth="1"/>
    <col min="6664" max="6664" width="8" customWidth="1"/>
    <col min="6665" max="6665" width="9.75" customWidth="1"/>
    <col min="6903" max="6903" width="4" customWidth="1"/>
    <col min="6904" max="6904" width="4.375" customWidth="1"/>
    <col min="6905" max="6905" width="4" customWidth="1"/>
    <col min="6906" max="6906" width="4.125" customWidth="1"/>
    <col min="6907" max="6907" width="22.25" customWidth="1"/>
    <col min="6908" max="6909" width="6.125" customWidth="1"/>
    <col min="6910" max="6910" width="8.75" customWidth="1"/>
    <col min="6911" max="6911" width="6" customWidth="1"/>
    <col min="6912" max="6912" width="1.75" customWidth="1"/>
    <col min="6913" max="6913" width="6.125" customWidth="1"/>
    <col min="6914" max="6914" width="5.875" customWidth="1"/>
    <col min="6915" max="6915" width="2.5" customWidth="1"/>
    <col min="6916" max="6916" width="5.75" customWidth="1"/>
    <col min="6917" max="6917" width="9.125" bestFit="1" customWidth="1"/>
    <col min="6918" max="6918" width="2.375" customWidth="1"/>
    <col min="6919" max="6919" width="8.625" customWidth="1"/>
    <col min="6920" max="6920" width="8" customWidth="1"/>
    <col min="6921" max="6921" width="9.75" customWidth="1"/>
    <col min="7159" max="7159" width="4" customWidth="1"/>
    <col min="7160" max="7160" width="4.375" customWidth="1"/>
    <col min="7161" max="7161" width="4" customWidth="1"/>
    <col min="7162" max="7162" width="4.125" customWidth="1"/>
    <col min="7163" max="7163" width="22.25" customWidth="1"/>
    <col min="7164" max="7165" width="6.125" customWidth="1"/>
    <col min="7166" max="7166" width="8.75" customWidth="1"/>
    <col min="7167" max="7167" width="6" customWidth="1"/>
    <col min="7168" max="7168" width="1.75" customWidth="1"/>
    <col min="7169" max="7169" width="6.125" customWidth="1"/>
    <col min="7170" max="7170" width="5.875" customWidth="1"/>
    <col min="7171" max="7171" width="2.5" customWidth="1"/>
    <col min="7172" max="7172" width="5.75" customWidth="1"/>
    <col min="7173" max="7173" width="9.125" bestFit="1" customWidth="1"/>
    <col min="7174" max="7174" width="2.375" customWidth="1"/>
    <col min="7175" max="7175" width="8.625" customWidth="1"/>
    <col min="7176" max="7176" width="8" customWidth="1"/>
    <col min="7177" max="7177" width="9.75" customWidth="1"/>
    <col min="7415" max="7415" width="4" customWidth="1"/>
    <col min="7416" max="7416" width="4.375" customWidth="1"/>
    <col min="7417" max="7417" width="4" customWidth="1"/>
    <col min="7418" max="7418" width="4.125" customWidth="1"/>
    <col min="7419" max="7419" width="22.25" customWidth="1"/>
    <col min="7420" max="7421" width="6.125" customWidth="1"/>
    <col min="7422" max="7422" width="8.75" customWidth="1"/>
    <col min="7423" max="7423" width="6" customWidth="1"/>
    <col min="7424" max="7424" width="1.75" customWidth="1"/>
    <col min="7425" max="7425" width="6.125" customWidth="1"/>
    <col min="7426" max="7426" width="5.875" customWidth="1"/>
    <col min="7427" max="7427" width="2.5" customWidth="1"/>
    <col min="7428" max="7428" width="5.75" customWidth="1"/>
    <col min="7429" max="7429" width="9.125" bestFit="1" customWidth="1"/>
    <col min="7430" max="7430" width="2.375" customWidth="1"/>
    <col min="7431" max="7431" width="8.625" customWidth="1"/>
    <col min="7432" max="7432" width="8" customWidth="1"/>
    <col min="7433" max="7433" width="9.75" customWidth="1"/>
    <col min="7671" max="7671" width="4" customWidth="1"/>
    <col min="7672" max="7672" width="4.375" customWidth="1"/>
    <col min="7673" max="7673" width="4" customWidth="1"/>
    <col min="7674" max="7674" width="4.125" customWidth="1"/>
    <col min="7675" max="7675" width="22.25" customWidth="1"/>
    <col min="7676" max="7677" width="6.125" customWidth="1"/>
    <col min="7678" max="7678" width="8.75" customWidth="1"/>
    <col min="7679" max="7679" width="6" customWidth="1"/>
    <col min="7680" max="7680" width="1.75" customWidth="1"/>
    <col min="7681" max="7681" width="6.125" customWidth="1"/>
    <col min="7682" max="7682" width="5.875" customWidth="1"/>
    <col min="7683" max="7683" width="2.5" customWidth="1"/>
    <col min="7684" max="7684" width="5.75" customWidth="1"/>
    <col min="7685" max="7685" width="9.125" bestFit="1" customWidth="1"/>
    <col min="7686" max="7686" width="2.375" customWidth="1"/>
    <col min="7687" max="7687" width="8.625" customWidth="1"/>
    <col min="7688" max="7688" width="8" customWidth="1"/>
    <col min="7689" max="7689" width="9.75" customWidth="1"/>
    <col min="7927" max="7927" width="4" customWidth="1"/>
    <col min="7928" max="7928" width="4.375" customWidth="1"/>
    <col min="7929" max="7929" width="4" customWidth="1"/>
    <col min="7930" max="7930" width="4.125" customWidth="1"/>
    <col min="7931" max="7931" width="22.25" customWidth="1"/>
    <col min="7932" max="7933" width="6.125" customWidth="1"/>
    <col min="7934" max="7934" width="8.75" customWidth="1"/>
    <col min="7935" max="7935" width="6" customWidth="1"/>
    <col min="7936" max="7936" width="1.75" customWidth="1"/>
    <col min="7937" max="7937" width="6.125" customWidth="1"/>
    <col min="7938" max="7938" width="5.875" customWidth="1"/>
    <col min="7939" max="7939" width="2.5" customWidth="1"/>
    <col min="7940" max="7940" width="5.75" customWidth="1"/>
    <col min="7941" max="7941" width="9.125" bestFit="1" customWidth="1"/>
    <col min="7942" max="7942" width="2.375" customWidth="1"/>
    <col min="7943" max="7943" width="8.625" customWidth="1"/>
    <col min="7944" max="7944" width="8" customWidth="1"/>
    <col min="7945" max="7945" width="9.75" customWidth="1"/>
    <col min="8183" max="8183" width="4" customWidth="1"/>
    <col min="8184" max="8184" width="4.375" customWidth="1"/>
    <col min="8185" max="8185" width="4" customWidth="1"/>
    <col min="8186" max="8186" width="4.125" customWidth="1"/>
    <col min="8187" max="8187" width="22.25" customWidth="1"/>
    <col min="8188" max="8189" width="6.125" customWidth="1"/>
    <col min="8190" max="8190" width="8.75" customWidth="1"/>
    <col min="8191" max="8191" width="6" customWidth="1"/>
    <col min="8192" max="8192" width="1.75" customWidth="1"/>
    <col min="8193" max="8193" width="6.125" customWidth="1"/>
    <col min="8194" max="8194" width="5.875" customWidth="1"/>
    <col min="8195" max="8195" width="2.5" customWidth="1"/>
    <col min="8196" max="8196" width="5.75" customWidth="1"/>
    <col min="8197" max="8197" width="9.125" bestFit="1" customWidth="1"/>
    <col min="8198" max="8198" width="2.375" customWidth="1"/>
    <col min="8199" max="8199" width="8.625" customWidth="1"/>
    <col min="8200" max="8200" width="8" customWidth="1"/>
    <col min="8201" max="8201" width="9.75" customWidth="1"/>
    <col min="8439" max="8439" width="4" customWidth="1"/>
    <col min="8440" max="8440" width="4.375" customWidth="1"/>
    <col min="8441" max="8441" width="4" customWidth="1"/>
    <col min="8442" max="8442" width="4.125" customWidth="1"/>
    <col min="8443" max="8443" width="22.25" customWidth="1"/>
    <col min="8444" max="8445" width="6.125" customWidth="1"/>
    <col min="8446" max="8446" width="8.75" customWidth="1"/>
    <col min="8447" max="8447" width="6" customWidth="1"/>
    <col min="8448" max="8448" width="1.75" customWidth="1"/>
    <col min="8449" max="8449" width="6.125" customWidth="1"/>
    <col min="8450" max="8450" width="5.875" customWidth="1"/>
    <col min="8451" max="8451" width="2.5" customWidth="1"/>
    <col min="8452" max="8452" width="5.75" customWidth="1"/>
    <col min="8453" max="8453" width="9.125" bestFit="1" customWidth="1"/>
    <col min="8454" max="8454" width="2.375" customWidth="1"/>
    <col min="8455" max="8455" width="8.625" customWidth="1"/>
    <col min="8456" max="8456" width="8" customWidth="1"/>
    <col min="8457" max="8457" width="9.75" customWidth="1"/>
    <col min="8695" max="8695" width="4" customWidth="1"/>
    <col min="8696" max="8696" width="4.375" customWidth="1"/>
    <col min="8697" max="8697" width="4" customWidth="1"/>
    <col min="8698" max="8698" width="4.125" customWidth="1"/>
    <col min="8699" max="8699" width="22.25" customWidth="1"/>
    <col min="8700" max="8701" width="6.125" customWidth="1"/>
    <col min="8702" max="8702" width="8.75" customWidth="1"/>
    <col min="8703" max="8703" width="6" customWidth="1"/>
    <col min="8704" max="8704" width="1.75" customWidth="1"/>
    <col min="8705" max="8705" width="6.125" customWidth="1"/>
    <col min="8706" max="8706" width="5.875" customWidth="1"/>
    <col min="8707" max="8707" width="2.5" customWidth="1"/>
    <col min="8708" max="8708" width="5.75" customWidth="1"/>
    <col min="8709" max="8709" width="9.125" bestFit="1" customWidth="1"/>
    <col min="8710" max="8710" width="2.375" customWidth="1"/>
    <col min="8711" max="8711" width="8.625" customWidth="1"/>
    <col min="8712" max="8712" width="8" customWidth="1"/>
    <col min="8713" max="8713" width="9.75" customWidth="1"/>
    <col min="8951" max="8951" width="4" customWidth="1"/>
    <col min="8952" max="8952" width="4.375" customWidth="1"/>
    <col min="8953" max="8953" width="4" customWidth="1"/>
    <col min="8954" max="8954" width="4.125" customWidth="1"/>
    <col min="8955" max="8955" width="22.25" customWidth="1"/>
    <col min="8956" max="8957" width="6.125" customWidth="1"/>
    <col min="8958" max="8958" width="8.75" customWidth="1"/>
    <col min="8959" max="8959" width="6" customWidth="1"/>
    <col min="8960" max="8960" width="1.75" customWidth="1"/>
    <col min="8961" max="8961" width="6.125" customWidth="1"/>
    <col min="8962" max="8962" width="5.875" customWidth="1"/>
    <col min="8963" max="8963" width="2.5" customWidth="1"/>
    <col min="8964" max="8964" width="5.75" customWidth="1"/>
    <col min="8965" max="8965" width="9.125" bestFit="1" customWidth="1"/>
    <col min="8966" max="8966" width="2.375" customWidth="1"/>
    <col min="8967" max="8967" width="8.625" customWidth="1"/>
    <col min="8968" max="8968" width="8" customWidth="1"/>
    <col min="8969" max="8969" width="9.75" customWidth="1"/>
    <col min="9207" max="9207" width="4" customWidth="1"/>
    <col min="9208" max="9208" width="4.375" customWidth="1"/>
    <col min="9209" max="9209" width="4" customWidth="1"/>
    <col min="9210" max="9210" width="4.125" customWidth="1"/>
    <col min="9211" max="9211" width="22.25" customWidth="1"/>
    <col min="9212" max="9213" width="6.125" customWidth="1"/>
    <col min="9214" max="9214" width="8.75" customWidth="1"/>
    <col min="9215" max="9215" width="6" customWidth="1"/>
    <col min="9216" max="9216" width="1.75" customWidth="1"/>
    <col min="9217" max="9217" width="6.125" customWidth="1"/>
    <col min="9218" max="9218" width="5.875" customWidth="1"/>
    <col min="9219" max="9219" width="2.5" customWidth="1"/>
    <col min="9220" max="9220" width="5.75" customWidth="1"/>
    <col min="9221" max="9221" width="9.125" bestFit="1" customWidth="1"/>
    <col min="9222" max="9222" width="2.375" customWidth="1"/>
    <col min="9223" max="9223" width="8.625" customWidth="1"/>
    <col min="9224" max="9224" width="8" customWidth="1"/>
    <col min="9225" max="9225" width="9.75" customWidth="1"/>
    <col min="9463" max="9463" width="4" customWidth="1"/>
    <col min="9464" max="9464" width="4.375" customWidth="1"/>
    <col min="9465" max="9465" width="4" customWidth="1"/>
    <col min="9466" max="9466" width="4.125" customWidth="1"/>
    <col min="9467" max="9467" width="22.25" customWidth="1"/>
    <col min="9468" max="9469" width="6.125" customWidth="1"/>
    <col min="9470" max="9470" width="8.75" customWidth="1"/>
    <col min="9471" max="9471" width="6" customWidth="1"/>
    <col min="9472" max="9472" width="1.75" customWidth="1"/>
    <col min="9473" max="9473" width="6.125" customWidth="1"/>
    <col min="9474" max="9474" width="5.875" customWidth="1"/>
    <col min="9475" max="9475" width="2.5" customWidth="1"/>
    <col min="9476" max="9476" width="5.75" customWidth="1"/>
    <col min="9477" max="9477" width="9.125" bestFit="1" customWidth="1"/>
    <col min="9478" max="9478" width="2.375" customWidth="1"/>
    <col min="9479" max="9479" width="8.625" customWidth="1"/>
    <col min="9480" max="9480" width="8" customWidth="1"/>
    <col min="9481" max="9481" width="9.75" customWidth="1"/>
    <col min="9719" max="9719" width="4" customWidth="1"/>
    <col min="9720" max="9720" width="4.375" customWidth="1"/>
    <col min="9721" max="9721" width="4" customWidth="1"/>
    <col min="9722" max="9722" width="4.125" customWidth="1"/>
    <col min="9723" max="9723" width="22.25" customWidth="1"/>
    <col min="9724" max="9725" width="6.125" customWidth="1"/>
    <col min="9726" max="9726" width="8.75" customWidth="1"/>
    <col min="9727" max="9727" width="6" customWidth="1"/>
    <col min="9728" max="9728" width="1.75" customWidth="1"/>
    <col min="9729" max="9729" width="6.125" customWidth="1"/>
    <col min="9730" max="9730" width="5.875" customWidth="1"/>
    <col min="9731" max="9731" width="2.5" customWidth="1"/>
    <col min="9732" max="9732" width="5.75" customWidth="1"/>
    <col min="9733" max="9733" width="9.125" bestFit="1" customWidth="1"/>
    <col min="9734" max="9734" width="2.375" customWidth="1"/>
    <col min="9735" max="9735" width="8.625" customWidth="1"/>
    <col min="9736" max="9736" width="8" customWidth="1"/>
    <col min="9737" max="9737" width="9.75" customWidth="1"/>
    <col min="9975" max="9975" width="4" customWidth="1"/>
    <col min="9976" max="9976" width="4.375" customWidth="1"/>
    <col min="9977" max="9977" width="4" customWidth="1"/>
    <col min="9978" max="9978" width="4.125" customWidth="1"/>
    <col min="9979" max="9979" width="22.25" customWidth="1"/>
    <col min="9980" max="9981" width="6.125" customWidth="1"/>
    <col min="9982" max="9982" width="8.75" customWidth="1"/>
    <col min="9983" max="9983" width="6" customWidth="1"/>
    <col min="9984" max="9984" width="1.75" customWidth="1"/>
    <col min="9985" max="9985" width="6.125" customWidth="1"/>
    <col min="9986" max="9986" width="5.875" customWidth="1"/>
    <col min="9987" max="9987" width="2.5" customWidth="1"/>
    <col min="9988" max="9988" width="5.75" customWidth="1"/>
    <col min="9989" max="9989" width="9.125" bestFit="1" customWidth="1"/>
    <col min="9990" max="9990" width="2.375" customWidth="1"/>
    <col min="9991" max="9991" width="8.625" customWidth="1"/>
    <col min="9992" max="9992" width="8" customWidth="1"/>
    <col min="9993" max="9993" width="9.75" customWidth="1"/>
    <col min="10231" max="10231" width="4" customWidth="1"/>
    <col min="10232" max="10232" width="4.375" customWidth="1"/>
    <col min="10233" max="10233" width="4" customWidth="1"/>
    <col min="10234" max="10234" width="4.125" customWidth="1"/>
    <col min="10235" max="10235" width="22.25" customWidth="1"/>
    <col min="10236" max="10237" width="6.125" customWidth="1"/>
    <col min="10238" max="10238" width="8.75" customWidth="1"/>
    <col min="10239" max="10239" width="6" customWidth="1"/>
    <col min="10240" max="10240" width="1.75" customWidth="1"/>
    <col min="10241" max="10241" width="6.125" customWidth="1"/>
    <col min="10242" max="10242" width="5.875" customWidth="1"/>
    <col min="10243" max="10243" width="2.5" customWidth="1"/>
    <col min="10244" max="10244" width="5.75" customWidth="1"/>
    <col min="10245" max="10245" width="9.125" bestFit="1" customWidth="1"/>
    <col min="10246" max="10246" width="2.375" customWidth="1"/>
    <col min="10247" max="10247" width="8.625" customWidth="1"/>
    <col min="10248" max="10248" width="8" customWidth="1"/>
    <col min="10249" max="10249" width="9.75" customWidth="1"/>
    <col min="10487" max="10487" width="4" customWidth="1"/>
    <col min="10488" max="10488" width="4.375" customWidth="1"/>
    <col min="10489" max="10489" width="4" customWidth="1"/>
    <col min="10490" max="10490" width="4.125" customWidth="1"/>
    <col min="10491" max="10491" width="22.25" customWidth="1"/>
    <col min="10492" max="10493" width="6.125" customWidth="1"/>
    <col min="10494" max="10494" width="8.75" customWidth="1"/>
    <col min="10495" max="10495" width="6" customWidth="1"/>
    <col min="10496" max="10496" width="1.75" customWidth="1"/>
    <col min="10497" max="10497" width="6.125" customWidth="1"/>
    <col min="10498" max="10498" width="5.875" customWidth="1"/>
    <col min="10499" max="10499" width="2.5" customWidth="1"/>
    <col min="10500" max="10500" width="5.75" customWidth="1"/>
    <col min="10501" max="10501" width="9.125" bestFit="1" customWidth="1"/>
    <col min="10502" max="10502" width="2.375" customWidth="1"/>
    <col min="10503" max="10503" width="8.625" customWidth="1"/>
    <col min="10504" max="10504" width="8" customWidth="1"/>
    <col min="10505" max="10505" width="9.75" customWidth="1"/>
    <col min="10743" max="10743" width="4" customWidth="1"/>
    <col min="10744" max="10744" width="4.375" customWidth="1"/>
    <col min="10745" max="10745" width="4" customWidth="1"/>
    <col min="10746" max="10746" width="4.125" customWidth="1"/>
    <col min="10747" max="10747" width="22.25" customWidth="1"/>
    <col min="10748" max="10749" width="6.125" customWidth="1"/>
    <col min="10750" max="10750" width="8.75" customWidth="1"/>
    <col min="10751" max="10751" width="6" customWidth="1"/>
    <col min="10752" max="10752" width="1.75" customWidth="1"/>
    <col min="10753" max="10753" width="6.125" customWidth="1"/>
    <col min="10754" max="10754" width="5.875" customWidth="1"/>
    <col min="10755" max="10755" width="2.5" customWidth="1"/>
    <col min="10756" max="10756" width="5.75" customWidth="1"/>
    <col min="10757" max="10757" width="9.125" bestFit="1" customWidth="1"/>
    <col min="10758" max="10758" width="2.375" customWidth="1"/>
    <col min="10759" max="10759" width="8.625" customWidth="1"/>
    <col min="10760" max="10760" width="8" customWidth="1"/>
    <col min="10761" max="10761" width="9.75" customWidth="1"/>
    <col min="10999" max="10999" width="4" customWidth="1"/>
    <col min="11000" max="11000" width="4.375" customWidth="1"/>
    <col min="11001" max="11001" width="4" customWidth="1"/>
    <col min="11002" max="11002" width="4.125" customWidth="1"/>
    <col min="11003" max="11003" width="22.25" customWidth="1"/>
    <col min="11004" max="11005" width="6.125" customWidth="1"/>
    <col min="11006" max="11006" width="8.75" customWidth="1"/>
    <col min="11007" max="11007" width="6" customWidth="1"/>
    <col min="11008" max="11008" width="1.75" customWidth="1"/>
    <col min="11009" max="11009" width="6.125" customWidth="1"/>
    <col min="11010" max="11010" width="5.875" customWidth="1"/>
    <col min="11011" max="11011" width="2.5" customWidth="1"/>
    <col min="11012" max="11012" width="5.75" customWidth="1"/>
    <col min="11013" max="11013" width="9.125" bestFit="1" customWidth="1"/>
    <col min="11014" max="11014" width="2.375" customWidth="1"/>
    <col min="11015" max="11015" width="8.625" customWidth="1"/>
    <col min="11016" max="11016" width="8" customWidth="1"/>
    <col min="11017" max="11017" width="9.75" customWidth="1"/>
    <col min="11255" max="11255" width="4" customWidth="1"/>
    <col min="11256" max="11256" width="4.375" customWidth="1"/>
    <col min="11257" max="11257" width="4" customWidth="1"/>
    <col min="11258" max="11258" width="4.125" customWidth="1"/>
    <col min="11259" max="11259" width="22.25" customWidth="1"/>
    <col min="11260" max="11261" width="6.125" customWidth="1"/>
    <col min="11262" max="11262" width="8.75" customWidth="1"/>
    <col min="11263" max="11263" width="6" customWidth="1"/>
    <col min="11264" max="11264" width="1.75" customWidth="1"/>
    <col min="11265" max="11265" width="6.125" customWidth="1"/>
    <col min="11266" max="11266" width="5.875" customWidth="1"/>
    <col min="11267" max="11267" width="2.5" customWidth="1"/>
    <col min="11268" max="11268" width="5.75" customWidth="1"/>
    <col min="11269" max="11269" width="9.125" bestFit="1" customWidth="1"/>
    <col min="11270" max="11270" width="2.375" customWidth="1"/>
    <col min="11271" max="11271" width="8.625" customWidth="1"/>
    <col min="11272" max="11272" width="8" customWidth="1"/>
    <col min="11273" max="11273" width="9.75" customWidth="1"/>
    <col min="11511" max="11511" width="4" customWidth="1"/>
    <col min="11512" max="11512" width="4.375" customWidth="1"/>
    <col min="11513" max="11513" width="4" customWidth="1"/>
    <col min="11514" max="11514" width="4.125" customWidth="1"/>
    <col min="11515" max="11515" width="22.25" customWidth="1"/>
    <col min="11516" max="11517" width="6.125" customWidth="1"/>
    <col min="11518" max="11518" width="8.75" customWidth="1"/>
    <col min="11519" max="11519" width="6" customWidth="1"/>
    <col min="11520" max="11520" width="1.75" customWidth="1"/>
    <col min="11521" max="11521" width="6.125" customWidth="1"/>
    <col min="11522" max="11522" width="5.875" customWidth="1"/>
    <col min="11523" max="11523" width="2.5" customWidth="1"/>
    <col min="11524" max="11524" width="5.75" customWidth="1"/>
    <col min="11525" max="11525" width="9.125" bestFit="1" customWidth="1"/>
    <col min="11526" max="11526" width="2.375" customWidth="1"/>
    <col min="11527" max="11527" width="8.625" customWidth="1"/>
    <col min="11528" max="11528" width="8" customWidth="1"/>
    <col min="11529" max="11529" width="9.75" customWidth="1"/>
    <col min="11767" max="11767" width="4" customWidth="1"/>
    <col min="11768" max="11768" width="4.375" customWidth="1"/>
    <col min="11769" max="11769" width="4" customWidth="1"/>
    <col min="11770" max="11770" width="4.125" customWidth="1"/>
    <col min="11771" max="11771" width="22.25" customWidth="1"/>
    <col min="11772" max="11773" width="6.125" customWidth="1"/>
    <col min="11774" max="11774" width="8.75" customWidth="1"/>
    <col min="11775" max="11775" width="6" customWidth="1"/>
    <col min="11776" max="11776" width="1.75" customWidth="1"/>
    <col min="11777" max="11777" width="6.125" customWidth="1"/>
    <col min="11778" max="11778" width="5.875" customWidth="1"/>
    <col min="11779" max="11779" width="2.5" customWidth="1"/>
    <col min="11780" max="11780" width="5.75" customWidth="1"/>
    <col min="11781" max="11781" width="9.125" bestFit="1" customWidth="1"/>
    <col min="11782" max="11782" width="2.375" customWidth="1"/>
    <col min="11783" max="11783" width="8.625" customWidth="1"/>
    <col min="11784" max="11784" width="8" customWidth="1"/>
    <col min="11785" max="11785" width="9.75" customWidth="1"/>
    <col min="12023" max="12023" width="4" customWidth="1"/>
    <col min="12024" max="12024" width="4.375" customWidth="1"/>
    <col min="12025" max="12025" width="4" customWidth="1"/>
    <col min="12026" max="12026" width="4.125" customWidth="1"/>
    <col min="12027" max="12027" width="22.25" customWidth="1"/>
    <col min="12028" max="12029" width="6.125" customWidth="1"/>
    <col min="12030" max="12030" width="8.75" customWidth="1"/>
    <col min="12031" max="12031" width="6" customWidth="1"/>
    <col min="12032" max="12032" width="1.75" customWidth="1"/>
    <col min="12033" max="12033" width="6.125" customWidth="1"/>
    <col min="12034" max="12034" width="5.875" customWidth="1"/>
    <col min="12035" max="12035" width="2.5" customWidth="1"/>
    <col min="12036" max="12036" width="5.75" customWidth="1"/>
    <col min="12037" max="12037" width="9.125" bestFit="1" customWidth="1"/>
    <col min="12038" max="12038" width="2.375" customWidth="1"/>
    <col min="12039" max="12039" width="8.625" customWidth="1"/>
    <col min="12040" max="12040" width="8" customWidth="1"/>
    <col min="12041" max="12041" width="9.75" customWidth="1"/>
    <col min="12279" max="12279" width="4" customWidth="1"/>
    <col min="12280" max="12280" width="4.375" customWidth="1"/>
    <col min="12281" max="12281" width="4" customWidth="1"/>
    <col min="12282" max="12282" width="4.125" customWidth="1"/>
    <col min="12283" max="12283" width="22.25" customWidth="1"/>
    <col min="12284" max="12285" width="6.125" customWidth="1"/>
    <col min="12286" max="12286" width="8.75" customWidth="1"/>
    <col min="12287" max="12287" width="6" customWidth="1"/>
    <col min="12288" max="12288" width="1.75" customWidth="1"/>
    <col min="12289" max="12289" width="6.125" customWidth="1"/>
    <col min="12290" max="12290" width="5.875" customWidth="1"/>
    <col min="12291" max="12291" width="2.5" customWidth="1"/>
    <col min="12292" max="12292" width="5.75" customWidth="1"/>
    <col min="12293" max="12293" width="9.125" bestFit="1" customWidth="1"/>
    <col min="12294" max="12294" width="2.375" customWidth="1"/>
    <col min="12295" max="12295" width="8.625" customWidth="1"/>
    <col min="12296" max="12296" width="8" customWidth="1"/>
    <col min="12297" max="12297" width="9.75" customWidth="1"/>
    <col min="12535" max="12535" width="4" customWidth="1"/>
    <col min="12536" max="12536" width="4.375" customWidth="1"/>
    <col min="12537" max="12537" width="4" customWidth="1"/>
    <col min="12538" max="12538" width="4.125" customWidth="1"/>
    <col min="12539" max="12539" width="22.25" customWidth="1"/>
    <col min="12540" max="12541" width="6.125" customWidth="1"/>
    <col min="12542" max="12542" width="8.75" customWidth="1"/>
    <col min="12543" max="12543" width="6" customWidth="1"/>
    <col min="12544" max="12544" width="1.75" customWidth="1"/>
    <col min="12545" max="12545" width="6.125" customWidth="1"/>
    <col min="12546" max="12546" width="5.875" customWidth="1"/>
    <col min="12547" max="12547" width="2.5" customWidth="1"/>
    <col min="12548" max="12548" width="5.75" customWidth="1"/>
    <col min="12549" max="12549" width="9.125" bestFit="1" customWidth="1"/>
    <col min="12550" max="12550" width="2.375" customWidth="1"/>
    <col min="12551" max="12551" width="8.625" customWidth="1"/>
    <col min="12552" max="12552" width="8" customWidth="1"/>
    <col min="12553" max="12553" width="9.75" customWidth="1"/>
    <col min="12791" max="12791" width="4" customWidth="1"/>
    <col min="12792" max="12792" width="4.375" customWidth="1"/>
    <col min="12793" max="12793" width="4" customWidth="1"/>
    <col min="12794" max="12794" width="4.125" customWidth="1"/>
    <col min="12795" max="12795" width="22.25" customWidth="1"/>
    <col min="12796" max="12797" width="6.125" customWidth="1"/>
    <col min="12798" max="12798" width="8.75" customWidth="1"/>
    <col min="12799" max="12799" width="6" customWidth="1"/>
    <col min="12800" max="12800" width="1.75" customWidth="1"/>
    <col min="12801" max="12801" width="6.125" customWidth="1"/>
    <col min="12802" max="12802" width="5.875" customWidth="1"/>
    <col min="12803" max="12803" width="2.5" customWidth="1"/>
    <col min="12804" max="12804" width="5.75" customWidth="1"/>
    <col min="12805" max="12805" width="9.125" bestFit="1" customWidth="1"/>
    <col min="12806" max="12806" width="2.375" customWidth="1"/>
    <col min="12807" max="12807" width="8.625" customWidth="1"/>
    <col min="12808" max="12808" width="8" customWidth="1"/>
    <col min="12809" max="12809" width="9.75" customWidth="1"/>
    <col min="13047" max="13047" width="4" customWidth="1"/>
    <col min="13048" max="13048" width="4.375" customWidth="1"/>
    <col min="13049" max="13049" width="4" customWidth="1"/>
    <col min="13050" max="13050" width="4.125" customWidth="1"/>
    <col min="13051" max="13051" width="22.25" customWidth="1"/>
    <col min="13052" max="13053" width="6.125" customWidth="1"/>
    <col min="13054" max="13054" width="8.75" customWidth="1"/>
    <col min="13055" max="13055" width="6" customWidth="1"/>
    <col min="13056" max="13056" width="1.75" customWidth="1"/>
    <col min="13057" max="13057" width="6.125" customWidth="1"/>
    <col min="13058" max="13058" width="5.875" customWidth="1"/>
    <col min="13059" max="13059" width="2.5" customWidth="1"/>
    <col min="13060" max="13060" width="5.75" customWidth="1"/>
    <col min="13061" max="13061" width="9.125" bestFit="1" customWidth="1"/>
    <col min="13062" max="13062" width="2.375" customWidth="1"/>
    <col min="13063" max="13063" width="8.625" customWidth="1"/>
    <col min="13064" max="13064" width="8" customWidth="1"/>
    <col min="13065" max="13065" width="9.75" customWidth="1"/>
    <col min="13303" max="13303" width="4" customWidth="1"/>
    <col min="13304" max="13304" width="4.375" customWidth="1"/>
    <col min="13305" max="13305" width="4" customWidth="1"/>
    <col min="13306" max="13306" width="4.125" customWidth="1"/>
    <col min="13307" max="13307" width="22.25" customWidth="1"/>
    <col min="13308" max="13309" width="6.125" customWidth="1"/>
    <col min="13310" max="13310" width="8.75" customWidth="1"/>
    <col min="13311" max="13311" width="6" customWidth="1"/>
    <col min="13312" max="13312" width="1.75" customWidth="1"/>
    <col min="13313" max="13313" width="6.125" customWidth="1"/>
    <col min="13314" max="13314" width="5.875" customWidth="1"/>
    <col min="13315" max="13315" width="2.5" customWidth="1"/>
    <col min="13316" max="13316" width="5.75" customWidth="1"/>
    <col min="13317" max="13317" width="9.125" bestFit="1" customWidth="1"/>
    <col min="13318" max="13318" width="2.375" customWidth="1"/>
    <col min="13319" max="13319" width="8.625" customWidth="1"/>
    <col min="13320" max="13320" width="8" customWidth="1"/>
    <col min="13321" max="13321" width="9.75" customWidth="1"/>
    <col min="13559" max="13559" width="4" customWidth="1"/>
    <col min="13560" max="13560" width="4.375" customWidth="1"/>
    <col min="13561" max="13561" width="4" customWidth="1"/>
    <col min="13562" max="13562" width="4.125" customWidth="1"/>
    <col min="13563" max="13563" width="22.25" customWidth="1"/>
    <col min="13564" max="13565" width="6.125" customWidth="1"/>
    <col min="13566" max="13566" width="8.75" customWidth="1"/>
    <col min="13567" max="13567" width="6" customWidth="1"/>
    <col min="13568" max="13568" width="1.75" customWidth="1"/>
    <col min="13569" max="13569" width="6.125" customWidth="1"/>
    <col min="13570" max="13570" width="5.875" customWidth="1"/>
    <col min="13571" max="13571" width="2.5" customWidth="1"/>
    <col min="13572" max="13572" width="5.75" customWidth="1"/>
    <col min="13573" max="13573" width="9.125" bestFit="1" customWidth="1"/>
    <col min="13574" max="13574" width="2.375" customWidth="1"/>
    <col min="13575" max="13575" width="8.625" customWidth="1"/>
    <col min="13576" max="13576" width="8" customWidth="1"/>
    <col min="13577" max="13577" width="9.75" customWidth="1"/>
    <col min="13815" max="13815" width="4" customWidth="1"/>
    <col min="13816" max="13816" width="4.375" customWidth="1"/>
    <col min="13817" max="13817" width="4" customWidth="1"/>
    <col min="13818" max="13818" width="4.125" customWidth="1"/>
    <col min="13819" max="13819" width="22.25" customWidth="1"/>
    <col min="13820" max="13821" width="6.125" customWidth="1"/>
    <col min="13822" max="13822" width="8.75" customWidth="1"/>
    <col min="13823" max="13823" width="6" customWidth="1"/>
    <col min="13824" max="13824" width="1.75" customWidth="1"/>
    <col min="13825" max="13825" width="6.125" customWidth="1"/>
    <col min="13826" max="13826" width="5.875" customWidth="1"/>
    <col min="13827" max="13827" width="2.5" customWidth="1"/>
    <col min="13828" max="13828" width="5.75" customWidth="1"/>
    <col min="13829" max="13829" width="9.125" bestFit="1" customWidth="1"/>
    <col min="13830" max="13830" width="2.375" customWidth="1"/>
    <col min="13831" max="13831" width="8.625" customWidth="1"/>
    <col min="13832" max="13832" width="8" customWidth="1"/>
    <col min="13833" max="13833" width="9.75" customWidth="1"/>
    <col min="14071" max="14071" width="4" customWidth="1"/>
    <col min="14072" max="14072" width="4.375" customWidth="1"/>
    <col min="14073" max="14073" width="4" customWidth="1"/>
    <col min="14074" max="14074" width="4.125" customWidth="1"/>
    <col min="14075" max="14075" width="22.25" customWidth="1"/>
    <col min="14076" max="14077" width="6.125" customWidth="1"/>
    <col min="14078" max="14078" width="8.75" customWidth="1"/>
    <col min="14079" max="14079" width="6" customWidth="1"/>
    <col min="14080" max="14080" width="1.75" customWidth="1"/>
    <col min="14081" max="14081" width="6.125" customWidth="1"/>
    <col min="14082" max="14082" width="5.875" customWidth="1"/>
    <col min="14083" max="14083" width="2.5" customWidth="1"/>
    <col min="14084" max="14084" width="5.75" customWidth="1"/>
    <col min="14085" max="14085" width="9.125" bestFit="1" customWidth="1"/>
    <col min="14086" max="14086" width="2.375" customWidth="1"/>
    <col min="14087" max="14087" width="8.625" customWidth="1"/>
    <col min="14088" max="14088" width="8" customWidth="1"/>
    <col min="14089" max="14089" width="9.75" customWidth="1"/>
    <col min="14327" max="14327" width="4" customWidth="1"/>
    <col min="14328" max="14328" width="4.375" customWidth="1"/>
    <col min="14329" max="14329" width="4" customWidth="1"/>
    <col min="14330" max="14330" width="4.125" customWidth="1"/>
    <col min="14331" max="14331" width="22.25" customWidth="1"/>
    <col min="14332" max="14333" width="6.125" customWidth="1"/>
    <col min="14334" max="14334" width="8.75" customWidth="1"/>
    <col min="14335" max="14335" width="6" customWidth="1"/>
    <col min="14336" max="14336" width="1.75" customWidth="1"/>
    <col min="14337" max="14337" width="6.125" customWidth="1"/>
    <col min="14338" max="14338" width="5.875" customWidth="1"/>
    <col min="14339" max="14339" width="2.5" customWidth="1"/>
    <col min="14340" max="14340" width="5.75" customWidth="1"/>
    <col min="14341" max="14341" width="9.125" bestFit="1" customWidth="1"/>
    <col min="14342" max="14342" width="2.375" customWidth="1"/>
    <col min="14343" max="14343" width="8.625" customWidth="1"/>
    <col min="14344" max="14344" width="8" customWidth="1"/>
    <col min="14345" max="14345" width="9.75" customWidth="1"/>
    <col min="14583" max="14583" width="4" customWidth="1"/>
    <col min="14584" max="14584" width="4.375" customWidth="1"/>
    <col min="14585" max="14585" width="4" customWidth="1"/>
    <col min="14586" max="14586" width="4.125" customWidth="1"/>
    <col min="14587" max="14587" width="22.25" customWidth="1"/>
    <col min="14588" max="14589" width="6.125" customWidth="1"/>
    <col min="14590" max="14590" width="8.75" customWidth="1"/>
    <col min="14591" max="14591" width="6" customWidth="1"/>
    <col min="14592" max="14592" width="1.75" customWidth="1"/>
    <col min="14593" max="14593" width="6.125" customWidth="1"/>
    <col min="14594" max="14594" width="5.875" customWidth="1"/>
    <col min="14595" max="14595" width="2.5" customWidth="1"/>
    <col min="14596" max="14596" width="5.75" customWidth="1"/>
    <col min="14597" max="14597" width="9.125" bestFit="1" customWidth="1"/>
    <col min="14598" max="14598" width="2.375" customWidth="1"/>
    <col min="14599" max="14599" width="8.625" customWidth="1"/>
    <col min="14600" max="14600" width="8" customWidth="1"/>
    <col min="14601" max="14601" width="9.75" customWidth="1"/>
    <col min="14839" max="14839" width="4" customWidth="1"/>
    <col min="14840" max="14840" width="4.375" customWidth="1"/>
    <col min="14841" max="14841" width="4" customWidth="1"/>
    <col min="14842" max="14842" width="4.125" customWidth="1"/>
    <col min="14843" max="14843" width="22.25" customWidth="1"/>
    <col min="14844" max="14845" width="6.125" customWidth="1"/>
    <col min="14846" max="14846" width="8.75" customWidth="1"/>
    <col min="14847" max="14847" width="6" customWidth="1"/>
    <col min="14848" max="14848" width="1.75" customWidth="1"/>
    <col min="14849" max="14849" width="6.125" customWidth="1"/>
    <col min="14850" max="14850" width="5.875" customWidth="1"/>
    <col min="14851" max="14851" width="2.5" customWidth="1"/>
    <col min="14852" max="14852" width="5.75" customWidth="1"/>
    <col min="14853" max="14853" width="9.125" bestFit="1" customWidth="1"/>
    <col min="14854" max="14854" width="2.375" customWidth="1"/>
    <col min="14855" max="14855" width="8.625" customWidth="1"/>
    <col min="14856" max="14856" width="8" customWidth="1"/>
    <col min="14857" max="14857" width="9.75" customWidth="1"/>
    <col min="15095" max="15095" width="4" customWidth="1"/>
    <col min="15096" max="15096" width="4.375" customWidth="1"/>
    <col min="15097" max="15097" width="4" customWidth="1"/>
    <col min="15098" max="15098" width="4.125" customWidth="1"/>
    <col min="15099" max="15099" width="22.25" customWidth="1"/>
    <col min="15100" max="15101" width="6.125" customWidth="1"/>
    <col min="15102" max="15102" width="8.75" customWidth="1"/>
    <col min="15103" max="15103" width="6" customWidth="1"/>
    <col min="15104" max="15104" width="1.75" customWidth="1"/>
    <col min="15105" max="15105" width="6.125" customWidth="1"/>
    <col min="15106" max="15106" width="5.875" customWidth="1"/>
    <col min="15107" max="15107" width="2.5" customWidth="1"/>
    <col min="15108" max="15108" width="5.75" customWidth="1"/>
    <col min="15109" max="15109" width="9.125" bestFit="1" customWidth="1"/>
    <col min="15110" max="15110" width="2.375" customWidth="1"/>
    <col min="15111" max="15111" width="8.625" customWidth="1"/>
    <col min="15112" max="15112" width="8" customWidth="1"/>
    <col min="15113" max="15113" width="9.75" customWidth="1"/>
    <col min="15351" max="15351" width="4" customWidth="1"/>
    <col min="15352" max="15352" width="4.375" customWidth="1"/>
    <col min="15353" max="15353" width="4" customWidth="1"/>
    <col min="15354" max="15354" width="4.125" customWidth="1"/>
    <col min="15355" max="15355" width="22.25" customWidth="1"/>
    <col min="15356" max="15357" width="6.125" customWidth="1"/>
    <col min="15358" max="15358" width="8.75" customWidth="1"/>
    <col min="15359" max="15359" width="6" customWidth="1"/>
    <col min="15360" max="15360" width="1.75" customWidth="1"/>
    <col min="15361" max="15361" width="6.125" customWidth="1"/>
    <col min="15362" max="15362" width="5.875" customWidth="1"/>
    <col min="15363" max="15363" width="2.5" customWidth="1"/>
    <col min="15364" max="15364" width="5.75" customWidth="1"/>
    <col min="15365" max="15365" width="9.125" bestFit="1" customWidth="1"/>
    <col min="15366" max="15366" width="2.375" customWidth="1"/>
    <col min="15367" max="15367" width="8.625" customWidth="1"/>
    <col min="15368" max="15368" width="8" customWidth="1"/>
    <col min="15369" max="15369" width="9.75" customWidth="1"/>
    <col min="15607" max="15607" width="4" customWidth="1"/>
    <col min="15608" max="15608" width="4.375" customWidth="1"/>
    <col min="15609" max="15609" width="4" customWidth="1"/>
    <col min="15610" max="15610" width="4.125" customWidth="1"/>
    <col min="15611" max="15611" width="22.25" customWidth="1"/>
    <col min="15612" max="15613" width="6.125" customWidth="1"/>
    <col min="15614" max="15614" width="8.75" customWidth="1"/>
    <col min="15615" max="15615" width="6" customWidth="1"/>
    <col min="15616" max="15616" width="1.75" customWidth="1"/>
    <col min="15617" max="15617" width="6.125" customWidth="1"/>
    <col min="15618" max="15618" width="5.875" customWidth="1"/>
    <col min="15619" max="15619" width="2.5" customWidth="1"/>
    <col min="15620" max="15620" width="5.75" customWidth="1"/>
    <col min="15621" max="15621" width="9.125" bestFit="1" customWidth="1"/>
    <col min="15622" max="15622" width="2.375" customWidth="1"/>
    <col min="15623" max="15623" width="8.625" customWidth="1"/>
    <col min="15624" max="15624" width="8" customWidth="1"/>
    <col min="15625" max="15625" width="9.75" customWidth="1"/>
    <col min="15863" max="15863" width="4" customWidth="1"/>
    <col min="15864" max="15864" width="4.375" customWidth="1"/>
    <col min="15865" max="15865" width="4" customWidth="1"/>
    <col min="15866" max="15866" width="4.125" customWidth="1"/>
    <col min="15867" max="15867" width="22.25" customWidth="1"/>
    <col min="15868" max="15869" width="6.125" customWidth="1"/>
    <col min="15870" max="15870" width="8.75" customWidth="1"/>
    <col min="15871" max="15871" width="6" customWidth="1"/>
    <col min="15872" max="15872" width="1.75" customWidth="1"/>
    <col min="15873" max="15873" width="6.125" customWidth="1"/>
    <col min="15874" max="15874" width="5.875" customWidth="1"/>
    <col min="15875" max="15875" width="2.5" customWidth="1"/>
    <col min="15876" max="15876" width="5.75" customWidth="1"/>
    <col min="15877" max="15877" width="9.125" bestFit="1" customWidth="1"/>
    <col min="15878" max="15878" width="2.375" customWidth="1"/>
    <col min="15879" max="15879" width="8.625" customWidth="1"/>
    <col min="15880" max="15880" width="8" customWidth="1"/>
    <col min="15881" max="15881" width="9.75" customWidth="1"/>
    <col min="16119" max="16119" width="4" customWidth="1"/>
    <col min="16120" max="16120" width="4.375" customWidth="1"/>
    <col min="16121" max="16121" width="4" customWidth="1"/>
    <col min="16122" max="16122" width="4.125" customWidth="1"/>
    <col min="16123" max="16123" width="22.25" customWidth="1"/>
    <col min="16124" max="16125" width="6.125" customWidth="1"/>
    <col min="16126" max="16126" width="8.75" customWidth="1"/>
    <col min="16127" max="16127" width="6" customWidth="1"/>
    <col min="16128" max="16128" width="1.75" customWidth="1"/>
    <col min="16129" max="16129" width="6.125" customWidth="1"/>
    <col min="16130" max="16130" width="5.875" customWidth="1"/>
    <col min="16131" max="16131" width="2.5" customWidth="1"/>
    <col min="16132" max="16132" width="5.75" customWidth="1"/>
    <col min="16133" max="16133" width="9.125" bestFit="1" customWidth="1"/>
    <col min="16134" max="16134" width="2.375" customWidth="1"/>
    <col min="16135" max="16135" width="8.625" customWidth="1"/>
    <col min="16136" max="16136" width="8" customWidth="1"/>
    <col min="16137" max="16137" width="9.75" customWidth="1"/>
  </cols>
  <sheetData>
    <row r="1" spans="1:13" s="203" customFormat="1" ht="27.75">
      <c r="A1" s="1084" t="s">
        <v>500</v>
      </c>
      <c r="B1" s="1084"/>
      <c r="C1" s="1084"/>
      <c r="D1" s="1084"/>
      <c r="E1" s="1084"/>
      <c r="F1" s="1084"/>
      <c r="G1" s="1084"/>
      <c r="H1" s="1084"/>
      <c r="I1" s="1084"/>
      <c r="J1" s="1084"/>
      <c r="K1" s="1084"/>
    </row>
    <row r="2" spans="1:13" s="204" customFormat="1" ht="19.5">
      <c r="A2" s="1085" t="s">
        <v>501</v>
      </c>
      <c r="B2" s="1086"/>
      <c r="C2" s="1086"/>
      <c r="D2" s="1086"/>
      <c r="E2" s="1086"/>
      <c r="F2" s="1086"/>
      <c r="G2" s="1086"/>
      <c r="H2" s="1086"/>
      <c r="I2" s="1086"/>
      <c r="J2" s="1086"/>
      <c r="K2" s="1086"/>
    </row>
    <row r="3" spans="1:13" s="202" customFormat="1">
      <c r="A3" s="205"/>
      <c r="B3" s="205"/>
      <c r="C3" s="205"/>
      <c r="D3" s="205"/>
      <c r="E3" s="205"/>
      <c r="F3" s="205"/>
      <c r="G3" s="205"/>
      <c r="H3" s="205"/>
      <c r="I3" s="205"/>
      <c r="J3" s="1087" t="s">
        <v>502</v>
      </c>
      <c r="K3" s="1088"/>
    </row>
    <row r="4" spans="1:13" ht="45" customHeight="1">
      <c r="A4" s="1089" t="s">
        <v>503</v>
      </c>
      <c r="B4" s="1089" t="s">
        <v>504</v>
      </c>
      <c r="C4" s="1089"/>
      <c r="D4" s="1089"/>
      <c r="E4" s="1089"/>
      <c r="F4" s="1072" t="s">
        <v>476</v>
      </c>
      <c r="G4" s="1072" t="s">
        <v>477</v>
      </c>
      <c r="H4" s="1072"/>
      <c r="I4" s="1072"/>
      <c r="J4" s="1091" t="s">
        <v>505</v>
      </c>
      <c r="K4" s="1091"/>
      <c r="L4" s="1057" t="s">
        <v>548</v>
      </c>
      <c r="M4" s="1057" t="s">
        <v>549</v>
      </c>
    </row>
    <row r="5" spans="1:13" ht="45" customHeight="1">
      <c r="A5" s="1089"/>
      <c r="B5" s="1089"/>
      <c r="C5" s="1089"/>
      <c r="D5" s="1089"/>
      <c r="E5" s="1089"/>
      <c r="F5" s="1090"/>
      <c r="G5" s="1090"/>
      <c r="H5" s="1090"/>
      <c r="I5" s="1090"/>
      <c r="J5" s="206" t="s">
        <v>506</v>
      </c>
      <c r="K5" s="207" t="s">
        <v>507</v>
      </c>
      <c r="L5" s="1057"/>
      <c r="M5" s="1057"/>
    </row>
    <row r="6" spans="1:13" s="202" customFormat="1" ht="46.9" customHeight="1">
      <c r="A6" s="1083" t="s">
        <v>508</v>
      </c>
      <c r="B6" s="1058" t="s">
        <v>509</v>
      </c>
      <c r="C6" s="1070" t="s">
        <v>510</v>
      </c>
      <c r="D6" s="1068" t="s">
        <v>511</v>
      </c>
      <c r="E6" s="1069"/>
      <c r="F6" s="208">
        <v>15</v>
      </c>
      <c r="G6" s="209">
        <v>10</v>
      </c>
      <c r="H6" s="209" t="s">
        <v>481</v>
      </c>
      <c r="I6" s="209">
        <v>20</v>
      </c>
      <c r="J6" s="210">
        <v>14.14</v>
      </c>
      <c r="K6" s="210">
        <v>842.59446512</v>
      </c>
      <c r="L6" s="201">
        <f>J6-[10]比較表!G9</f>
        <v>0</v>
      </c>
      <c r="M6" s="201">
        <f>K6-ROUND([10]比較表!F9/100000000,2)</f>
        <v>4.4651199999634628E-3</v>
      </c>
    </row>
    <row r="7" spans="1:13" s="202" customFormat="1" ht="46.9" customHeight="1">
      <c r="A7" s="1083"/>
      <c r="B7" s="1058"/>
      <c r="C7" s="1064"/>
      <c r="D7" s="1068" t="s">
        <v>512</v>
      </c>
      <c r="E7" s="1069"/>
      <c r="F7" s="208">
        <v>2</v>
      </c>
      <c r="G7" s="209">
        <v>0.1</v>
      </c>
      <c r="H7" s="209" t="s">
        <v>481</v>
      </c>
      <c r="I7" s="209">
        <v>3</v>
      </c>
      <c r="J7" s="210">
        <v>0.56000000000000005</v>
      </c>
      <c r="K7" s="210">
        <v>33.432464199999998</v>
      </c>
      <c r="L7" s="201">
        <f>J7-[10]比較表!G10</f>
        <v>0</v>
      </c>
      <c r="M7" s="201">
        <f>K7-ROUND([10]比較表!F10/100000000,2)</f>
        <v>2.4641999999985842E-3</v>
      </c>
    </row>
    <row r="8" spans="1:13" s="202" customFormat="1" ht="46.9" customHeight="1">
      <c r="A8" s="1083"/>
      <c r="B8" s="1058"/>
      <c r="C8" s="1070" t="s">
        <v>513</v>
      </c>
      <c r="D8" s="1068" t="s">
        <v>514</v>
      </c>
      <c r="E8" s="1069"/>
      <c r="F8" s="208">
        <v>0.1</v>
      </c>
      <c r="G8" s="209">
        <v>0</v>
      </c>
      <c r="H8" s="209" t="s">
        <v>481</v>
      </c>
      <c r="I8" s="209">
        <v>1</v>
      </c>
      <c r="J8" s="210">
        <v>0.18</v>
      </c>
      <c r="K8" s="210">
        <v>10.947589219999999</v>
      </c>
      <c r="L8" s="201">
        <f>J8-[10]比較表!G11</f>
        <v>0</v>
      </c>
      <c r="M8" s="201">
        <f>K8-ROUND([10]比較表!F11/100000000,2)</f>
        <v>-2.4107799999999457E-3</v>
      </c>
    </row>
    <row r="9" spans="1:13" s="202" customFormat="1" ht="46.9" customHeight="1">
      <c r="A9" s="1083"/>
      <c r="B9" s="1058"/>
      <c r="C9" s="1064"/>
      <c r="D9" s="1068" t="s">
        <v>515</v>
      </c>
      <c r="E9" s="1069"/>
      <c r="F9" s="208">
        <v>3</v>
      </c>
      <c r="G9" s="209">
        <v>1</v>
      </c>
      <c r="H9" s="209" t="s">
        <v>481</v>
      </c>
      <c r="I9" s="209">
        <v>6</v>
      </c>
      <c r="J9" s="210">
        <v>1.42</v>
      </c>
      <c r="K9" s="210">
        <v>84.815450580000004</v>
      </c>
      <c r="L9" s="201">
        <f>J9-[10]比較表!G12</f>
        <v>0</v>
      </c>
      <c r="M9" s="201">
        <f>K9-ROUND([10]比較表!F12/100000000,2)</f>
        <v>-4.5494199999893681E-3</v>
      </c>
    </row>
    <row r="10" spans="1:13" s="202" customFormat="1" ht="46.9" customHeight="1">
      <c r="A10" s="1083"/>
      <c r="B10" s="1071" t="s">
        <v>516</v>
      </c>
      <c r="C10" s="1072" t="s">
        <v>482</v>
      </c>
      <c r="D10" s="1068" t="s">
        <v>517</v>
      </c>
      <c r="E10" s="1069"/>
      <c r="F10" s="208">
        <v>6</v>
      </c>
      <c r="G10" s="209">
        <v>4.8</v>
      </c>
      <c r="H10" s="209" t="s">
        <v>481</v>
      </c>
      <c r="I10" s="209">
        <v>16</v>
      </c>
      <c r="J10" s="210">
        <v>9.08</v>
      </c>
      <c r="K10" s="210">
        <v>540.85408901999995</v>
      </c>
      <c r="L10" s="201">
        <f>J10-[10]比較表!G13</f>
        <v>0</v>
      </c>
      <c r="M10" s="201">
        <f>K10-ROUND([10]比較表!F13/100000000,2)</f>
        <v>4.0890199999239485E-3</v>
      </c>
    </row>
    <row r="11" spans="1:13" s="202" customFormat="1" ht="46.9" customHeight="1">
      <c r="A11" s="1083"/>
      <c r="B11" s="1071"/>
      <c r="C11" s="1073"/>
      <c r="D11" s="1068" t="s">
        <v>518</v>
      </c>
      <c r="E11" s="1069"/>
      <c r="F11" s="208">
        <v>3</v>
      </c>
      <c r="G11" s="209">
        <v>2</v>
      </c>
      <c r="H11" s="209" t="s">
        <v>481</v>
      </c>
      <c r="I11" s="209">
        <v>14</v>
      </c>
      <c r="J11" s="210">
        <v>8.61</v>
      </c>
      <c r="K11" s="210">
        <v>512.79367244000002</v>
      </c>
      <c r="L11" s="201">
        <f>J11-[10]比較表!G14</f>
        <v>0</v>
      </c>
      <c r="M11" s="201">
        <f>K11-ROUND([10]比較表!F14/100000000,2)</f>
        <v>3.672440000059396E-3</v>
      </c>
    </row>
    <row r="12" spans="1:13" s="202" customFormat="1" ht="46.9" customHeight="1">
      <c r="A12" s="1083"/>
      <c r="B12" s="1071"/>
      <c r="C12" s="1073"/>
      <c r="D12" s="1068" t="s">
        <v>519</v>
      </c>
      <c r="E12" s="1069"/>
      <c r="F12" s="208">
        <v>9.6999999999999993</v>
      </c>
      <c r="G12" s="209">
        <v>5.5</v>
      </c>
      <c r="H12" s="209" t="s">
        <v>481</v>
      </c>
      <c r="I12" s="209">
        <v>12</v>
      </c>
      <c r="J12" s="210">
        <v>7.68</v>
      </c>
      <c r="K12" s="210">
        <v>457.44618102999999</v>
      </c>
      <c r="L12" s="201">
        <f>J12-[10]比較表!G15</f>
        <v>0</v>
      </c>
      <c r="M12" s="201">
        <f>K12-ROUND([10]比較表!F15/100000000,2)</f>
        <v>-3.8189699999975346E-3</v>
      </c>
    </row>
    <row r="13" spans="1:13" s="202" customFormat="1" ht="46.9" customHeight="1">
      <c r="A13" s="1083"/>
      <c r="B13" s="1071"/>
      <c r="C13" s="1073"/>
      <c r="D13" s="1068" t="s">
        <v>520</v>
      </c>
      <c r="E13" s="1069"/>
      <c r="F13" s="208">
        <v>0.1</v>
      </c>
      <c r="G13" s="209">
        <v>0</v>
      </c>
      <c r="H13" s="209" t="s">
        <v>481</v>
      </c>
      <c r="I13" s="209">
        <v>0.12</v>
      </c>
      <c r="J13" s="210">
        <v>0</v>
      </c>
      <c r="K13" s="210">
        <v>0</v>
      </c>
      <c r="L13" s="201">
        <f>J13-[10]比較表!G16</f>
        <v>0</v>
      </c>
      <c r="M13" s="201">
        <f>K13-ROUND([10]比較表!F16/100000000,2)</f>
        <v>0</v>
      </c>
    </row>
    <row r="14" spans="1:13" s="202" customFormat="1" ht="46.9" customHeight="1">
      <c r="A14" s="1083"/>
      <c r="B14" s="1071"/>
      <c r="C14" s="1074"/>
      <c r="D14" s="1068" t="s">
        <v>521</v>
      </c>
      <c r="E14" s="1069"/>
      <c r="F14" s="208">
        <v>0.1</v>
      </c>
      <c r="G14" s="209">
        <v>0</v>
      </c>
      <c r="H14" s="209" t="s">
        <v>481</v>
      </c>
      <c r="I14" s="209">
        <v>5</v>
      </c>
      <c r="J14" s="210">
        <v>0</v>
      </c>
      <c r="K14" s="210">
        <v>0</v>
      </c>
      <c r="L14" s="201">
        <f>J14-[10]比較表!G17</f>
        <v>0</v>
      </c>
      <c r="M14" s="201">
        <f>K14-ROUND([10]比較表!F17/100000000,2)</f>
        <v>0</v>
      </c>
    </row>
    <row r="15" spans="1:13" s="202" customFormat="1" ht="46.9" customHeight="1">
      <c r="A15" s="1083"/>
      <c r="B15" s="1071"/>
      <c r="C15" s="1082" t="s">
        <v>483</v>
      </c>
      <c r="D15" s="1068" t="s">
        <v>522</v>
      </c>
      <c r="E15" s="1069"/>
      <c r="F15" s="208">
        <v>2.9</v>
      </c>
      <c r="G15" s="209">
        <v>1</v>
      </c>
      <c r="H15" s="209" t="s">
        <v>481</v>
      </c>
      <c r="I15" s="209">
        <v>14</v>
      </c>
      <c r="J15" s="210">
        <v>3.62</v>
      </c>
      <c r="K15" s="210">
        <v>215.87833283000001</v>
      </c>
      <c r="L15" s="201">
        <f>J15-[10]比較表!G18</f>
        <v>0</v>
      </c>
      <c r="M15" s="201">
        <f>K15-ROUND([10]比較表!F18/100000000,2)</f>
        <v>-1.6671699999903922E-3</v>
      </c>
    </row>
    <row r="16" spans="1:13" s="202" customFormat="1" ht="46.9" customHeight="1">
      <c r="A16" s="1083"/>
      <c r="B16" s="1071"/>
      <c r="C16" s="1073"/>
      <c r="D16" s="1068" t="s">
        <v>523</v>
      </c>
      <c r="E16" s="1069"/>
      <c r="F16" s="208">
        <v>0.1</v>
      </c>
      <c r="G16" s="209">
        <v>0</v>
      </c>
      <c r="H16" s="209" t="s">
        <v>481</v>
      </c>
      <c r="I16" s="209">
        <v>0.5</v>
      </c>
      <c r="J16" s="210">
        <v>0</v>
      </c>
      <c r="K16" s="210">
        <v>0</v>
      </c>
      <c r="L16" s="201">
        <f>J16-[10]比較表!G19</f>
        <v>0</v>
      </c>
      <c r="M16" s="201">
        <f>K16-ROUND([10]比較表!F19/100000000,2)</f>
        <v>0</v>
      </c>
    </row>
    <row r="17" spans="1:13" s="202" customFormat="1" ht="46.9" customHeight="1">
      <c r="A17" s="1083"/>
      <c r="B17" s="1071"/>
      <c r="C17" s="1074"/>
      <c r="D17" s="1068" t="s">
        <v>524</v>
      </c>
      <c r="E17" s="1069"/>
      <c r="F17" s="208">
        <v>10</v>
      </c>
      <c r="G17" s="209">
        <v>4</v>
      </c>
      <c r="H17" s="209" t="s">
        <v>481</v>
      </c>
      <c r="I17" s="209">
        <v>25</v>
      </c>
      <c r="J17" s="210">
        <v>12.03</v>
      </c>
      <c r="K17" s="210">
        <v>716.66346985999996</v>
      </c>
      <c r="L17" s="201">
        <f>J17-[10]比較表!G20</f>
        <v>0</v>
      </c>
      <c r="M17" s="201">
        <f>K17-ROUND([10]比較表!F20/100000000,2)</f>
        <v>3.4698599999956059E-3</v>
      </c>
    </row>
    <row r="18" spans="1:13" s="202" customFormat="1" ht="46.9" customHeight="1">
      <c r="A18" s="1058" t="s">
        <v>525</v>
      </c>
      <c r="B18" s="1059" t="s">
        <v>526</v>
      </c>
      <c r="C18" s="1060"/>
      <c r="D18" s="1061"/>
      <c r="E18" s="211" t="s">
        <v>492</v>
      </c>
      <c r="F18" s="208">
        <v>13</v>
      </c>
      <c r="G18" s="209">
        <v>6</v>
      </c>
      <c r="H18" s="212" t="s">
        <v>481</v>
      </c>
      <c r="I18" s="209">
        <v>18</v>
      </c>
      <c r="J18" s="210">
        <v>9.18</v>
      </c>
      <c r="K18" s="210">
        <v>547.02932696000005</v>
      </c>
      <c r="L18" s="201">
        <f>J18-[10]比較表!G21</f>
        <v>0</v>
      </c>
      <c r="M18" s="201">
        <f>K18-ROUND([10]比較表!F21/100000000,2)</f>
        <v>-6.7303999992418539E-4</v>
      </c>
    </row>
    <row r="19" spans="1:13" s="202" customFormat="1" ht="46.9" customHeight="1">
      <c r="A19" s="1058"/>
      <c r="B19" s="1062"/>
      <c r="C19" s="1063"/>
      <c r="D19" s="1064"/>
      <c r="E19" s="211" t="s">
        <v>494</v>
      </c>
      <c r="F19" s="208">
        <v>2</v>
      </c>
      <c r="G19" s="209">
        <v>0.5</v>
      </c>
      <c r="H19" s="212" t="s">
        <v>481</v>
      </c>
      <c r="I19" s="209">
        <v>10</v>
      </c>
      <c r="J19" s="210">
        <v>0.24</v>
      </c>
      <c r="K19" s="210">
        <v>13.93376656</v>
      </c>
      <c r="L19" s="201">
        <f>J19-[10]比較表!G22</f>
        <v>0</v>
      </c>
      <c r="M19" s="201">
        <f>K19-ROUND([10]比較表!F22/100000000,2)</f>
        <v>3.7665600000007515E-3</v>
      </c>
    </row>
    <row r="20" spans="1:13" s="202" customFormat="1" ht="46.9" customHeight="1">
      <c r="A20" s="1058"/>
      <c r="B20" s="1059" t="s">
        <v>527</v>
      </c>
      <c r="C20" s="1060"/>
      <c r="D20" s="1061"/>
      <c r="E20" s="211" t="s">
        <v>492</v>
      </c>
      <c r="F20" s="208">
        <v>20</v>
      </c>
      <c r="G20" s="209">
        <v>9</v>
      </c>
      <c r="H20" s="212" t="s">
        <v>481</v>
      </c>
      <c r="I20" s="209">
        <v>25</v>
      </c>
      <c r="J20" s="210">
        <v>20.52</v>
      </c>
      <c r="K20" s="213">
        <v>1221.8328500099999</v>
      </c>
      <c r="L20" s="201">
        <f>J20-[10]比較表!G23</f>
        <v>0</v>
      </c>
      <c r="M20" s="201">
        <f>K20-ROUND([10]比較表!F23/100000000,2)</f>
        <v>2.8500099999746453E-3</v>
      </c>
    </row>
    <row r="21" spans="1:13" s="202" customFormat="1" ht="46.9" customHeight="1">
      <c r="A21" s="1058"/>
      <c r="B21" s="1065"/>
      <c r="C21" s="1066"/>
      <c r="D21" s="1067"/>
      <c r="E21" s="211" t="s">
        <v>494</v>
      </c>
      <c r="F21" s="208">
        <v>7</v>
      </c>
      <c r="G21" s="209">
        <v>1</v>
      </c>
      <c r="H21" s="212" t="s">
        <v>481</v>
      </c>
      <c r="I21" s="209">
        <v>10</v>
      </c>
      <c r="J21" s="210">
        <v>7.4</v>
      </c>
      <c r="K21" s="210">
        <v>441.13695295000002</v>
      </c>
      <c r="L21" s="201">
        <f>J21-[10]比較表!G24</f>
        <v>0</v>
      </c>
      <c r="M21" s="201">
        <f>K21-ROUND([10]比較表!F24/100000000,2)</f>
        <v>-3.0470499999637468E-3</v>
      </c>
    </row>
    <row r="22" spans="1:13" s="202" customFormat="1" ht="46.9" customHeight="1">
      <c r="A22" s="1058"/>
      <c r="B22" s="1062"/>
      <c r="C22" s="1063"/>
      <c r="D22" s="1064"/>
      <c r="E22" s="211" t="s">
        <v>496</v>
      </c>
      <c r="F22" s="208">
        <v>6</v>
      </c>
      <c r="G22" s="209">
        <v>2</v>
      </c>
      <c r="H22" s="212" t="s">
        <v>481</v>
      </c>
      <c r="I22" s="209">
        <v>10</v>
      </c>
      <c r="J22" s="210">
        <v>5.34</v>
      </c>
      <c r="K22" s="210">
        <v>318.41618961</v>
      </c>
      <c r="L22" s="201">
        <f>J22-[10]比較表!G25</f>
        <v>0</v>
      </c>
      <c r="M22" s="201">
        <f>K22-ROUND([10]比較表!F25/100000000,2)</f>
        <v>-3.8103900000123758E-3</v>
      </c>
    </row>
    <row r="23" spans="1:13" s="202" customFormat="1" ht="46.9" customHeight="1">
      <c r="A23" s="1075" t="s">
        <v>497</v>
      </c>
      <c r="B23" s="1076"/>
      <c r="C23" s="1076"/>
      <c r="D23" s="1076"/>
      <c r="E23" s="1077"/>
      <c r="F23" s="214">
        <f>SUM(F6:F22)</f>
        <v>100</v>
      </c>
      <c r="G23" s="1078" t="s">
        <v>498</v>
      </c>
      <c r="H23" s="1079"/>
      <c r="I23" s="1079"/>
      <c r="J23" s="210">
        <f>SUM(J6:J22)</f>
        <v>100</v>
      </c>
      <c r="K23" s="208">
        <f>SUM(K6:K22)</f>
        <v>5957.7748003900006</v>
      </c>
      <c r="L23" s="201">
        <f>J23-[10]比較表!G26</f>
        <v>0</v>
      </c>
      <c r="M23" s="201">
        <f>K23-ROUND([10]比較表!F26/100000000,2)</f>
        <v>4.8003900001276634E-3</v>
      </c>
    </row>
    <row r="24" spans="1:13" s="215" customFormat="1" ht="14.25">
      <c r="A24" s="1080"/>
      <c r="B24" s="1081"/>
      <c r="C24" s="1081"/>
      <c r="D24" s="1081"/>
      <c r="E24" s="1081"/>
      <c r="F24" s="1081"/>
      <c r="G24" s="1081"/>
      <c r="H24" s="1081"/>
      <c r="I24" s="1081"/>
      <c r="J24" s="1081"/>
      <c r="K24" s="1081"/>
    </row>
    <row r="25" spans="1:13" s="215" customFormat="1" ht="14.25">
      <c r="A25" s="216"/>
      <c r="J25" s="217"/>
      <c r="K25" s="217"/>
    </row>
    <row r="26" spans="1:13" s="215" customFormat="1" ht="14.25">
      <c r="A26" s="216"/>
      <c r="J26" s="217"/>
      <c r="K26" s="217"/>
    </row>
    <row r="27" spans="1:13">
      <c r="B27" s="218"/>
      <c r="C27" s="218"/>
    </row>
  </sheetData>
  <mergeCells count="35">
    <mergeCell ref="A1:K1"/>
    <mergeCell ref="A2:K2"/>
    <mergeCell ref="J3:K3"/>
    <mergeCell ref="A4:A5"/>
    <mergeCell ref="B4:E5"/>
    <mergeCell ref="F4:F5"/>
    <mergeCell ref="G4:I5"/>
    <mergeCell ref="J4:K4"/>
    <mergeCell ref="A23:E23"/>
    <mergeCell ref="G23:I23"/>
    <mergeCell ref="A24:K24"/>
    <mergeCell ref="D10:E10"/>
    <mergeCell ref="D11:E11"/>
    <mergeCell ref="D12:E12"/>
    <mergeCell ref="D13:E13"/>
    <mergeCell ref="D14:E14"/>
    <mergeCell ref="C15:C17"/>
    <mergeCell ref="D15:E15"/>
    <mergeCell ref="D16:E16"/>
    <mergeCell ref="D17:E17"/>
    <mergeCell ref="A6:A17"/>
    <mergeCell ref="B6:B9"/>
    <mergeCell ref="C6:C7"/>
    <mergeCell ref="D6:E6"/>
    <mergeCell ref="L4:L5"/>
    <mergeCell ref="M4:M5"/>
    <mergeCell ref="A18:A22"/>
    <mergeCell ref="B18:D19"/>
    <mergeCell ref="B20:D22"/>
    <mergeCell ref="D7:E7"/>
    <mergeCell ref="C8:C9"/>
    <mergeCell ref="D8:E8"/>
    <mergeCell ref="D9:E9"/>
    <mergeCell ref="B10:B17"/>
    <mergeCell ref="C10:C14"/>
  </mergeCells>
  <phoneticPr fontId="3" type="noConversion"/>
  <pageMargins left="0.39370078740157483" right="0.39370078740157483" top="0.59055118110236227" bottom="0.78740157480314965" header="0.31496062992125984" footer="0.31496062992125984"/>
  <pageSetup paperSize="9" scale="72" orientation="portrait" r:id="rId1"/>
</worksheet>
</file>

<file path=xl/worksheets/sheet54.xml><?xml version="1.0" encoding="utf-8"?>
<worksheet xmlns="http://schemas.openxmlformats.org/spreadsheetml/2006/main" xmlns:r="http://schemas.openxmlformats.org/officeDocument/2006/relationships">
  <sheetPr>
    <tabColor rgb="FFCC99FF"/>
    <pageSetUpPr fitToPage="1"/>
  </sheetPr>
  <dimension ref="A1:X28"/>
  <sheetViews>
    <sheetView view="pageBreakPreview" zoomScale="90" zoomScaleNormal="75" zoomScaleSheetLayoutView="90" workbookViewId="0">
      <pane xSplit="1" ySplit="6" topLeftCell="K7" activePane="bottomRight" state="frozen"/>
      <selection activeCell="E20" sqref="E20"/>
      <selection pane="topRight" activeCell="E20" sqref="E20"/>
      <selection pane="bottomLeft" activeCell="E20" sqref="E20"/>
      <selection pane="bottomRight" activeCell="E20" sqref="E20"/>
    </sheetView>
  </sheetViews>
  <sheetFormatPr defaultColWidth="29.875" defaultRowHeight="30.4" customHeight="1"/>
  <cols>
    <col min="1" max="1" width="8.75" style="220" customWidth="1"/>
    <col min="2" max="3" width="16.25" style="220" customWidth="1"/>
    <col min="4" max="4" width="16.75" style="220" customWidth="1"/>
    <col min="5" max="5" width="17.5" style="220" customWidth="1"/>
    <col min="6" max="6" width="15.5" style="220" customWidth="1"/>
    <col min="7" max="7" width="15.125" style="220" customWidth="1"/>
    <col min="8" max="8" width="16.5" style="220" customWidth="1"/>
    <col min="9" max="9" width="17.125" style="220" customWidth="1"/>
    <col min="10" max="10" width="16.625" style="220" customWidth="1"/>
    <col min="11" max="12" width="17.375" style="220" customWidth="1"/>
    <col min="13" max="16384" width="29.875" style="225"/>
  </cols>
  <sheetData>
    <row r="1" spans="1:24" s="60" customFormat="1" ht="33" customHeight="1">
      <c r="A1" s="1098" t="s">
        <v>528</v>
      </c>
      <c r="B1" s="1098"/>
      <c r="C1" s="1098"/>
      <c r="D1" s="1098"/>
      <c r="E1" s="1098"/>
      <c r="F1" s="1098"/>
      <c r="G1" s="171" t="s">
        <v>529</v>
      </c>
      <c r="H1" s="192"/>
      <c r="I1" s="192"/>
      <c r="J1" s="192"/>
      <c r="K1" s="192"/>
      <c r="L1" s="192"/>
    </row>
    <row r="2" spans="1:24" ht="45" customHeight="1">
      <c r="B2" s="221"/>
      <c r="C2" s="221"/>
      <c r="D2" s="221"/>
      <c r="E2" s="221"/>
      <c r="F2" s="222" t="s">
        <v>461</v>
      </c>
      <c r="G2" s="221" t="s">
        <v>395</v>
      </c>
      <c r="H2" s="221"/>
      <c r="I2" s="221"/>
      <c r="J2" s="223"/>
      <c r="K2" s="1099" t="s">
        <v>530</v>
      </c>
      <c r="L2" s="1099"/>
      <c r="M2" s="224" t="s">
        <v>531</v>
      </c>
      <c r="U2" s="225" t="s">
        <v>532</v>
      </c>
    </row>
    <row r="3" spans="1:24" s="226" customFormat="1" ht="25.15" customHeight="1">
      <c r="A3" s="1100" t="s">
        <v>48</v>
      </c>
      <c r="B3" s="1103" t="s">
        <v>533</v>
      </c>
      <c r="C3" s="1092" t="s">
        <v>534</v>
      </c>
      <c r="D3" s="1092" t="s">
        <v>535</v>
      </c>
      <c r="E3" s="1092" t="s">
        <v>536</v>
      </c>
      <c r="F3" s="1095" t="s">
        <v>537</v>
      </c>
      <c r="G3" s="1103" t="s">
        <v>538</v>
      </c>
      <c r="H3" s="1092" t="s">
        <v>539</v>
      </c>
      <c r="I3" s="1092" t="s">
        <v>540</v>
      </c>
      <c r="J3" s="1092" t="s">
        <v>541</v>
      </c>
      <c r="K3" s="1092" t="s">
        <v>542</v>
      </c>
      <c r="L3" s="1095" t="s">
        <v>543</v>
      </c>
    </row>
    <row r="4" spans="1:24" s="226" customFormat="1" ht="25.15" customHeight="1">
      <c r="A4" s="1101"/>
      <c r="B4" s="1104"/>
      <c r="C4" s="1093"/>
      <c r="D4" s="1093"/>
      <c r="E4" s="1093"/>
      <c r="F4" s="1096"/>
      <c r="G4" s="1104"/>
      <c r="H4" s="1093"/>
      <c r="I4" s="1093"/>
      <c r="J4" s="1093"/>
      <c r="K4" s="1093"/>
      <c r="L4" s="1096"/>
    </row>
    <row r="5" spans="1:24" s="226" customFormat="1" ht="25.15" customHeight="1">
      <c r="A5" s="1102"/>
      <c r="B5" s="1105"/>
      <c r="C5" s="1094"/>
      <c r="D5" s="1094"/>
      <c r="E5" s="1094"/>
      <c r="F5" s="1097"/>
      <c r="G5" s="1105"/>
      <c r="H5" s="1094"/>
      <c r="I5" s="1094"/>
      <c r="J5" s="1094"/>
      <c r="K5" s="1094"/>
      <c r="L5" s="1097"/>
    </row>
    <row r="6" spans="1:24" ht="61.35" hidden="1" customHeight="1">
      <c r="A6" s="170" t="s">
        <v>53</v>
      </c>
      <c r="B6" s="227">
        <v>2435514817</v>
      </c>
      <c r="C6" s="228">
        <v>3950210</v>
      </c>
      <c r="D6" s="229">
        <f t="shared" ref="D6:D16" si="0">C6/B6*12*100</f>
        <v>1.9463039054054745</v>
      </c>
      <c r="E6" s="227">
        <v>3613930</v>
      </c>
      <c r="F6" s="230">
        <v>1.5669999999999999</v>
      </c>
      <c r="G6" s="227">
        <f t="shared" ref="G6:H21" si="1">C6-E6</f>
        <v>336280</v>
      </c>
      <c r="H6" s="229">
        <f t="shared" si="1"/>
        <v>0.37930390540547454</v>
      </c>
      <c r="I6" s="231">
        <v>16497871</v>
      </c>
      <c r="J6" s="232">
        <v>8.1289999999999996</v>
      </c>
      <c r="K6" s="233"/>
      <c r="L6" s="231"/>
      <c r="M6" s="234"/>
      <c r="N6" s="234"/>
      <c r="O6" s="234"/>
      <c r="P6" s="234"/>
      <c r="Q6" s="234"/>
      <c r="R6" s="234"/>
      <c r="S6" s="234"/>
      <c r="T6" s="235"/>
      <c r="U6" s="235"/>
      <c r="V6" s="235"/>
      <c r="W6" s="235"/>
      <c r="X6" s="235"/>
    </row>
    <row r="7" spans="1:24" ht="61.35" hidden="1" customHeight="1">
      <c r="A7" s="170" t="s">
        <v>60</v>
      </c>
      <c r="B7" s="227">
        <v>2891033137</v>
      </c>
      <c r="C7" s="228">
        <v>6331973</v>
      </c>
      <c r="D7" s="229">
        <f t="shared" si="0"/>
        <v>2.6282533751532022</v>
      </c>
      <c r="E7" s="236">
        <v>3872001</v>
      </c>
      <c r="F7" s="230">
        <v>1.496</v>
      </c>
      <c r="G7" s="227">
        <f t="shared" si="1"/>
        <v>2459972</v>
      </c>
      <c r="H7" s="229">
        <f t="shared" si="1"/>
        <v>1.1322533751532022</v>
      </c>
      <c r="I7" s="231">
        <v>5313579</v>
      </c>
      <c r="J7" s="232">
        <v>2.2055419283836453</v>
      </c>
      <c r="K7" s="233"/>
      <c r="L7" s="231"/>
      <c r="M7" s="234"/>
      <c r="N7" s="234"/>
      <c r="O7" s="234"/>
      <c r="P7" s="234"/>
      <c r="Q7" s="234"/>
      <c r="R7" s="234"/>
      <c r="S7" s="234"/>
      <c r="T7" s="235"/>
      <c r="U7" s="235"/>
      <c r="V7" s="235"/>
      <c r="W7" s="235"/>
      <c r="X7" s="235"/>
    </row>
    <row r="8" spans="1:24" ht="61.35" hidden="1" customHeight="1">
      <c r="A8" s="170" t="s">
        <v>54</v>
      </c>
      <c r="B8" s="227">
        <v>3250034323</v>
      </c>
      <c r="C8" s="228">
        <v>9914408</v>
      </c>
      <c r="D8" s="229">
        <f t="shared" si="0"/>
        <v>3.6606658322974273</v>
      </c>
      <c r="E8" s="236">
        <v>5230215</v>
      </c>
      <c r="F8" s="230">
        <v>1.8120000000000001</v>
      </c>
      <c r="G8" s="227">
        <f t="shared" si="1"/>
        <v>4684193</v>
      </c>
      <c r="H8" s="229">
        <f t="shared" si="1"/>
        <v>1.8486658322974272</v>
      </c>
      <c r="I8" s="231">
        <v>10273219</v>
      </c>
      <c r="J8" s="232">
        <v>3.7931484946966818</v>
      </c>
      <c r="K8" s="231">
        <v>12829853</v>
      </c>
      <c r="L8" s="232">
        <v>4.7370000000000001</v>
      </c>
      <c r="M8" s="234"/>
      <c r="N8" s="234"/>
      <c r="O8" s="234"/>
      <c r="P8" s="234"/>
      <c r="Q8" s="234"/>
      <c r="R8" s="234"/>
      <c r="S8" s="234"/>
      <c r="T8" s="235"/>
      <c r="U8" s="235"/>
      <c r="V8" s="235"/>
      <c r="W8" s="235"/>
      <c r="X8" s="235"/>
    </row>
    <row r="9" spans="1:24" ht="61.35" hidden="1" customHeight="1">
      <c r="A9" s="170" t="s">
        <v>8</v>
      </c>
      <c r="B9" s="227">
        <v>3804746003</v>
      </c>
      <c r="C9" s="228">
        <v>14095909</v>
      </c>
      <c r="D9" s="229">
        <f t="shared" si="0"/>
        <v>4.4457871265684066</v>
      </c>
      <c r="E9" s="237">
        <v>6992574</v>
      </c>
      <c r="F9" s="230">
        <v>2.1749999999999998</v>
      </c>
      <c r="G9" s="227">
        <f t="shared" si="1"/>
        <v>7103335</v>
      </c>
      <c r="H9" s="229">
        <f t="shared" si="1"/>
        <v>2.2707871265684068</v>
      </c>
      <c r="I9" s="231">
        <v>28752660</v>
      </c>
      <c r="J9" s="232">
        <v>9.0684613303475743</v>
      </c>
      <c r="K9" s="231">
        <v>34662659</v>
      </c>
      <c r="L9" s="232">
        <v>10.932</v>
      </c>
      <c r="M9" s="234"/>
      <c r="N9" s="234"/>
      <c r="O9" s="234"/>
      <c r="P9" s="234"/>
      <c r="Q9" s="234"/>
      <c r="R9" s="234"/>
      <c r="S9" s="234"/>
      <c r="T9" s="235"/>
      <c r="U9" s="235"/>
      <c r="V9" s="235"/>
      <c r="W9" s="235"/>
      <c r="X9" s="235"/>
    </row>
    <row r="10" spans="1:24" ht="61.35" hidden="1" customHeight="1">
      <c r="A10" s="170" t="s">
        <v>1</v>
      </c>
      <c r="B10" s="227">
        <v>4625706245</v>
      </c>
      <c r="C10" s="231">
        <v>-9497358</v>
      </c>
      <c r="D10" s="232">
        <f t="shared" si="0"/>
        <v>-2.4638031462371859</v>
      </c>
      <c r="E10" s="237">
        <v>10549069</v>
      </c>
      <c r="F10" s="230">
        <v>2.6930000000000001</v>
      </c>
      <c r="G10" s="238">
        <f t="shared" si="1"/>
        <v>-20046427</v>
      </c>
      <c r="H10" s="232">
        <v>-5.15</v>
      </c>
      <c r="I10" s="231">
        <v>-68817973</v>
      </c>
      <c r="J10" s="232">
        <v>-17.852747932116038</v>
      </c>
      <c r="K10" s="231">
        <v>-86087286</v>
      </c>
      <c r="L10" s="232">
        <v>-22.332999999999998</v>
      </c>
      <c r="M10" s="234"/>
      <c r="N10" s="234"/>
      <c r="O10" s="234"/>
      <c r="P10" s="234"/>
      <c r="Q10" s="234"/>
      <c r="R10" s="234"/>
      <c r="S10" s="234"/>
      <c r="T10" s="235"/>
      <c r="U10" s="235"/>
      <c r="V10" s="235"/>
      <c r="W10" s="235"/>
      <c r="X10" s="235"/>
    </row>
    <row r="11" spans="1:24" ht="61.35" hidden="1" customHeight="1">
      <c r="A11" s="170" t="s">
        <v>2</v>
      </c>
      <c r="B11" s="227">
        <v>4695890763</v>
      </c>
      <c r="C11" s="228">
        <v>6359380</v>
      </c>
      <c r="D11" s="229">
        <f t="shared" si="0"/>
        <v>1.6250923169100133</v>
      </c>
      <c r="E11" s="237">
        <v>4002937</v>
      </c>
      <c r="F11" s="230">
        <v>0.93700000000000006</v>
      </c>
      <c r="G11" s="238">
        <f t="shared" si="1"/>
        <v>2356443</v>
      </c>
      <c r="H11" s="229">
        <f t="shared" si="1"/>
        <v>0.68809231691001327</v>
      </c>
      <c r="I11" s="231">
        <v>65192912</v>
      </c>
      <c r="J11" s="232">
        <v>16.66</v>
      </c>
      <c r="K11" s="228">
        <v>76263379</v>
      </c>
      <c r="L11" s="232">
        <v>19.489000000000001</v>
      </c>
      <c r="M11" s="228"/>
      <c r="N11" s="239"/>
      <c r="O11" s="234"/>
      <c r="P11" s="234"/>
      <c r="Q11" s="234"/>
      <c r="R11" s="234"/>
      <c r="S11" s="234"/>
      <c r="T11" s="235"/>
      <c r="U11" s="235"/>
      <c r="V11" s="235"/>
      <c r="W11" s="235"/>
      <c r="X11" s="235"/>
    </row>
    <row r="12" spans="1:24" ht="61.35" customHeight="1">
      <c r="A12" s="170" t="s">
        <v>3</v>
      </c>
      <c r="B12" s="227">
        <v>5311228164</v>
      </c>
      <c r="C12" s="228">
        <v>13488675</v>
      </c>
      <c r="D12" s="229">
        <f t="shared" si="0"/>
        <v>3.0475832519704196</v>
      </c>
      <c r="E12" s="237">
        <v>4845048</v>
      </c>
      <c r="F12" s="230">
        <v>1.0680000000000001</v>
      </c>
      <c r="G12" s="238">
        <f t="shared" si="1"/>
        <v>8643627</v>
      </c>
      <c r="H12" s="229">
        <f t="shared" si="1"/>
        <v>1.9795832519704195</v>
      </c>
      <c r="I12" s="231">
        <v>14474563</v>
      </c>
      <c r="J12" s="232">
        <f t="shared" ref="J12:J21" si="2">I12/B12*12*100</f>
        <v>3.2703312800101352</v>
      </c>
      <c r="K12" s="228">
        <v>15946553</v>
      </c>
      <c r="L12" s="232">
        <f t="shared" ref="L12:L21" si="3">K12/B12*12*100</f>
        <v>3.6029074649258468</v>
      </c>
      <c r="M12" s="228"/>
      <c r="N12" s="239"/>
      <c r="O12" s="234"/>
      <c r="P12" s="234"/>
      <c r="Q12" s="234"/>
      <c r="R12" s="234"/>
      <c r="S12" s="234"/>
      <c r="T12" s="235"/>
      <c r="U12" s="235"/>
      <c r="V12" s="235"/>
      <c r="W12" s="235"/>
      <c r="X12" s="235"/>
    </row>
    <row r="13" spans="1:24" ht="61.35" customHeight="1">
      <c r="A13" s="170" t="s">
        <v>4</v>
      </c>
      <c r="B13" s="227">
        <v>5708849263</v>
      </c>
      <c r="C13" s="228">
        <v>6872769</v>
      </c>
      <c r="D13" s="229">
        <f t="shared" si="0"/>
        <v>1.4446559052543686</v>
      </c>
      <c r="E13" s="237">
        <v>6292886</v>
      </c>
      <c r="F13" s="230">
        <v>1.323</v>
      </c>
      <c r="G13" s="238">
        <f t="shared" si="1"/>
        <v>579883</v>
      </c>
      <c r="H13" s="229">
        <f t="shared" si="1"/>
        <v>0.12165590525436865</v>
      </c>
      <c r="I13" s="231">
        <v>-23027870</v>
      </c>
      <c r="J13" s="232">
        <f t="shared" si="2"/>
        <v>-4.8404578097896085</v>
      </c>
      <c r="K13" s="231">
        <v>-28450568</v>
      </c>
      <c r="L13" s="232">
        <f t="shared" si="3"/>
        <v>-5.9803088200754262</v>
      </c>
      <c r="M13" s="228"/>
      <c r="N13" s="239"/>
      <c r="O13" s="234"/>
      <c r="P13" s="234"/>
      <c r="Q13" s="234"/>
      <c r="R13" s="234"/>
      <c r="S13" s="234"/>
      <c r="T13" s="235"/>
      <c r="U13" s="235"/>
      <c r="V13" s="235"/>
      <c r="W13" s="235"/>
      <c r="X13" s="235"/>
    </row>
    <row r="14" spans="1:24" ht="61.35" customHeight="1">
      <c r="A14" s="170" t="s">
        <v>5</v>
      </c>
      <c r="B14" s="227">
        <v>5797047710</v>
      </c>
      <c r="C14" s="240">
        <v>10663323</v>
      </c>
      <c r="D14" s="229">
        <f t="shared" si="0"/>
        <v>2.207328322988737</v>
      </c>
      <c r="E14" s="228">
        <v>6892191</v>
      </c>
      <c r="F14" s="241">
        <v>1.4</v>
      </c>
      <c r="G14" s="242">
        <f t="shared" si="1"/>
        <v>3771132</v>
      </c>
      <c r="H14" s="229">
        <f t="shared" si="1"/>
        <v>0.80732832298873713</v>
      </c>
      <c r="I14" s="243">
        <v>26655059</v>
      </c>
      <c r="J14" s="232">
        <f t="shared" si="2"/>
        <v>5.5176483617382548</v>
      </c>
      <c r="K14" s="243">
        <v>29811133</v>
      </c>
      <c r="L14" s="232">
        <f t="shared" si="3"/>
        <v>6.1709617359695672</v>
      </c>
      <c r="M14" s="228"/>
      <c r="N14" s="239"/>
      <c r="O14" s="234"/>
      <c r="P14" s="234"/>
      <c r="Q14" s="234"/>
      <c r="R14" s="234"/>
      <c r="S14" s="234"/>
      <c r="T14" s="235"/>
      <c r="U14" s="235"/>
      <c r="V14" s="235"/>
      <c r="W14" s="235"/>
      <c r="X14" s="235"/>
    </row>
    <row r="15" spans="1:24" ht="61.35" customHeight="1">
      <c r="A15" s="170" t="s">
        <v>6</v>
      </c>
      <c r="B15" s="227">
        <v>6184245754</v>
      </c>
      <c r="C15" s="240">
        <v>20592377</v>
      </c>
      <c r="D15" s="229">
        <f t="shared" si="0"/>
        <v>3.9957746478650047</v>
      </c>
      <c r="E15" s="228">
        <v>7040871</v>
      </c>
      <c r="F15" s="241">
        <v>1.4</v>
      </c>
      <c r="G15" s="242">
        <f t="shared" si="1"/>
        <v>13551506</v>
      </c>
      <c r="H15" s="229">
        <f t="shared" si="1"/>
        <v>2.5957746478650048</v>
      </c>
      <c r="I15" s="243">
        <v>40578660</v>
      </c>
      <c r="J15" s="232">
        <f t="shared" si="2"/>
        <v>7.8739419384335152</v>
      </c>
      <c r="K15" s="243">
        <v>42768224</v>
      </c>
      <c r="L15" s="232">
        <f t="shared" si="3"/>
        <v>8.2988081071656588</v>
      </c>
      <c r="M15" s="228"/>
      <c r="N15" s="239"/>
      <c r="O15" s="234"/>
      <c r="P15" s="234"/>
      <c r="Q15" s="234"/>
      <c r="R15" s="234"/>
      <c r="S15" s="234"/>
      <c r="T15" s="235"/>
      <c r="U15" s="235"/>
      <c r="V15" s="235"/>
      <c r="W15" s="235"/>
      <c r="X15" s="235"/>
    </row>
    <row r="16" spans="1:24" ht="61.35" customHeight="1">
      <c r="A16" s="170" t="s">
        <v>246</v>
      </c>
      <c r="B16" s="227">
        <v>6578073413</v>
      </c>
      <c r="C16" s="240">
        <v>25211174</v>
      </c>
      <c r="D16" s="229">
        <f t="shared" si="0"/>
        <v>4.5991290915378542</v>
      </c>
      <c r="E16" s="228">
        <v>7106844</v>
      </c>
      <c r="F16" s="241">
        <v>1.4</v>
      </c>
      <c r="G16" s="242">
        <f t="shared" si="1"/>
        <v>18104330</v>
      </c>
      <c r="H16" s="229">
        <f t="shared" si="1"/>
        <v>3.1991290915378543</v>
      </c>
      <c r="I16" s="243">
        <v>33545695</v>
      </c>
      <c r="J16" s="232">
        <f t="shared" si="2"/>
        <v>6.1195476962062898</v>
      </c>
      <c r="K16" s="243">
        <v>35646341</v>
      </c>
      <c r="L16" s="232">
        <f t="shared" si="3"/>
        <v>6.5027564325238707</v>
      </c>
      <c r="M16" s="228"/>
      <c r="N16" s="239"/>
      <c r="O16" s="234"/>
      <c r="P16" s="234"/>
      <c r="Q16" s="234"/>
      <c r="R16" s="234"/>
      <c r="S16" s="234"/>
      <c r="T16" s="235"/>
      <c r="U16" s="235"/>
      <c r="V16" s="235"/>
      <c r="W16" s="235"/>
      <c r="X16" s="235"/>
    </row>
    <row r="17" spans="1:24" ht="61.35" customHeight="1">
      <c r="A17" s="170" t="s">
        <v>55</v>
      </c>
      <c r="B17" s="227">
        <v>6739257388</v>
      </c>
      <c r="C17" s="244">
        <v>13129077</v>
      </c>
      <c r="D17" s="229">
        <f>C17/B17*12*100</f>
        <v>2.3377787036377842</v>
      </c>
      <c r="E17" s="228">
        <v>6996714</v>
      </c>
      <c r="F17" s="241">
        <v>1.38</v>
      </c>
      <c r="G17" s="242">
        <f>C17-E17</f>
        <v>6132363</v>
      </c>
      <c r="H17" s="229">
        <f>D17-F17</f>
        <v>0.95777870363778428</v>
      </c>
      <c r="I17" s="245">
        <v>-8922362</v>
      </c>
      <c r="J17" s="232">
        <f>I17/B17*12*100</f>
        <v>-1.5887261434864786</v>
      </c>
      <c r="K17" s="245">
        <v>-10876820</v>
      </c>
      <c r="L17" s="232">
        <f>K17/B17*12*100</f>
        <v>-1.9367392056045922</v>
      </c>
      <c r="M17" s="228"/>
      <c r="N17" s="239"/>
      <c r="O17" s="234"/>
      <c r="P17" s="234"/>
      <c r="Q17" s="234"/>
      <c r="R17" s="234"/>
      <c r="S17" s="234"/>
      <c r="T17" s="235"/>
      <c r="U17" s="235"/>
      <c r="V17" s="235"/>
      <c r="W17" s="235"/>
      <c r="X17" s="235"/>
    </row>
    <row r="18" spans="1:24" ht="61.35" customHeight="1">
      <c r="A18" s="170" t="s">
        <v>99</v>
      </c>
      <c r="B18" s="227">
        <v>6625543955</v>
      </c>
      <c r="C18" s="244">
        <v>11074720</v>
      </c>
      <c r="D18" s="229">
        <f t="shared" ref="D18:D19" si="4">C18/B18*12*100</f>
        <v>2.0058223279872571</v>
      </c>
      <c r="E18" s="228">
        <v>5552134</v>
      </c>
      <c r="F18" s="241">
        <v>1.1200000000000001</v>
      </c>
      <c r="G18" s="242">
        <f>C18-E18</f>
        <v>5522586</v>
      </c>
      <c r="H18" s="229">
        <f t="shared" ref="H18:H20" si="5">D18-F18</f>
        <v>0.88582232798725702</v>
      </c>
      <c r="I18" s="245">
        <v>22378422</v>
      </c>
      <c r="J18" s="232">
        <f t="shared" ref="J18:J20" si="6">I18/B18*12*100</f>
        <v>4.0531172357153276</v>
      </c>
      <c r="K18" s="245">
        <v>23693114</v>
      </c>
      <c r="L18" s="232">
        <f t="shared" ref="L18:L20" si="7">K18/B18*12*100</f>
        <v>4.2912305756486377</v>
      </c>
      <c r="M18" s="228"/>
      <c r="N18" s="239"/>
      <c r="O18" s="234"/>
      <c r="P18" s="234"/>
      <c r="Q18" s="234"/>
      <c r="R18" s="234"/>
      <c r="S18" s="234"/>
      <c r="T18" s="235"/>
      <c r="U18" s="235"/>
      <c r="V18" s="235"/>
      <c r="W18" s="235"/>
      <c r="X18" s="235"/>
    </row>
    <row r="19" spans="1:24" ht="61.35" customHeight="1">
      <c r="A19" s="170" t="s">
        <v>98</v>
      </c>
      <c r="B19" s="227">
        <v>6665439821</v>
      </c>
      <c r="C19" s="244">
        <v>21201527</v>
      </c>
      <c r="D19" s="229">
        <f t="shared" si="4"/>
        <v>3.8169772863065208</v>
      </c>
      <c r="E19" s="228">
        <v>4975869</v>
      </c>
      <c r="F19" s="241">
        <v>1.04</v>
      </c>
      <c r="G19" s="228">
        <f>C19-E19</f>
        <v>16225658</v>
      </c>
      <c r="H19" s="229">
        <f t="shared" si="5"/>
        <v>2.7769772863065207</v>
      </c>
      <c r="I19" s="245">
        <v>37175225</v>
      </c>
      <c r="J19" s="232">
        <f t="shared" si="6"/>
        <v>6.6927721497764905</v>
      </c>
      <c r="K19" s="245">
        <v>39708401</v>
      </c>
      <c r="L19" s="232">
        <f t="shared" si="7"/>
        <v>7.1488277562531763</v>
      </c>
      <c r="M19" s="246">
        <f>D19-F19</f>
        <v>2.7769772863065207</v>
      </c>
      <c r="N19" s="239"/>
      <c r="O19" s="234"/>
      <c r="P19" s="234"/>
      <c r="Q19" s="234"/>
      <c r="R19" s="234"/>
      <c r="S19" s="234"/>
      <c r="T19" s="235"/>
      <c r="U19" s="235"/>
      <c r="V19" s="235"/>
      <c r="W19" s="235"/>
      <c r="X19" s="235"/>
    </row>
    <row r="20" spans="1:24" ht="61.35" customHeight="1">
      <c r="A20" s="170" t="s">
        <v>189</v>
      </c>
      <c r="B20" s="227">
        <v>6877456922.3629999</v>
      </c>
      <c r="C20" s="244">
        <v>18132576</v>
      </c>
      <c r="D20" s="229">
        <f>ROUND(C20/B20*12*100,2)</f>
        <v>3.16</v>
      </c>
      <c r="E20" s="228">
        <v>4902514</v>
      </c>
      <c r="F20" s="241">
        <v>1.04</v>
      </c>
      <c r="G20" s="228">
        <f>C20-E20</f>
        <v>13230062</v>
      </c>
      <c r="H20" s="229">
        <f t="shared" si="5"/>
        <v>2.12</v>
      </c>
      <c r="I20" s="245">
        <v>-5681049</v>
      </c>
      <c r="J20" s="232">
        <f t="shared" si="6"/>
        <v>-0.99124703752527221</v>
      </c>
      <c r="K20" s="245">
        <v>-6531627.8080000002</v>
      </c>
      <c r="L20" s="232">
        <f t="shared" si="7"/>
        <v>-1.1396586642533251</v>
      </c>
      <c r="M20" s="246">
        <f>D20-F20</f>
        <v>2.12</v>
      </c>
      <c r="N20" s="239"/>
      <c r="O20" s="234"/>
      <c r="P20" s="234"/>
      <c r="Q20" s="234"/>
      <c r="R20" s="234"/>
      <c r="S20" s="234"/>
      <c r="T20" s="235"/>
      <c r="U20" s="235"/>
      <c r="V20" s="235"/>
      <c r="W20" s="235"/>
      <c r="X20" s="235"/>
    </row>
    <row r="21" spans="1:24" ht="61.35" customHeight="1">
      <c r="A21" s="168" t="s">
        <v>367</v>
      </c>
      <c r="B21" s="247">
        <v>6920876724</v>
      </c>
      <c r="C21" s="247">
        <v>20740112</v>
      </c>
      <c r="D21" s="248">
        <f>ROUND(C21/B21*12*100,2)</f>
        <v>3.6</v>
      </c>
      <c r="E21" s="247">
        <v>4797272</v>
      </c>
      <c r="F21" s="249">
        <v>1.04</v>
      </c>
      <c r="G21" s="247">
        <f>C21-E21</f>
        <v>15942840</v>
      </c>
      <c r="H21" s="248">
        <f t="shared" si="1"/>
        <v>2.56</v>
      </c>
      <c r="I21" s="247">
        <v>58459094</v>
      </c>
      <c r="J21" s="250">
        <f t="shared" si="2"/>
        <v>10.136130955306985</v>
      </c>
      <c r="K21" s="247">
        <v>61253805</v>
      </c>
      <c r="L21" s="250">
        <f t="shared" si="3"/>
        <v>10.620701528334289</v>
      </c>
      <c r="M21" s="246">
        <f>D21-F21</f>
        <v>2.56</v>
      </c>
      <c r="N21" s="239"/>
      <c r="O21" s="234"/>
      <c r="P21" s="234"/>
      <c r="Q21" s="234"/>
      <c r="R21" s="234"/>
      <c r="S21" s="234"/>
      <c r="T21" s="235"/>
      <c r="U21" s="235"/>
      <c r="V21" s="235"/>
      <c r="W21" s="235"/>
      <c r="X21" s="235"/>
    </row>
    <row r="22" spans="1:24" s="1" customFormat="1" ht="16.5">
      <c r="A22" s="12" t="s">
        <v>544</v>
      </c>
      <c r="B22" s="12"/>
      <c r="C22" s="12"/>
      <c r="D22" s="12"/>
      <c r="E22" s="12"/>
      <c r="F22" s="12"/>
      <c r="G22" s="12"/>
      <c r="H22" s="12"/>
      <c r="I22" s="12"/>
      <c r="J22" s="12"/>
      <c r="K22" s="12"/>
      <c r="L22" s="12"/>
      <c r="M22" s="12"/>
    </row>
    <row r="23" spans="1:24" s="251" customFormat="1" ht="20.100000000000001" customHeight="1">
      <c r="C23" s="252"/>
      <c r="D23" s="252"/>
      <c r="E23" s="252"/>
      <c r="F23" s="252"/>
      <c r="G23" s="252"/>
      <c r="H23" s="252"/>
      <c r="I23" s="252">
        <f>I21-'[11]108(12)'!$K$31</f>
        <v>0</v>
      </c>
      <c r="J23" s="252"/>
      <c r="K23" s="252">
        <f>I21+'57委託人權益-OK'!F27-'52運用收益 (含實際)-OK '!K21</f>
        <v>1</v>
      </c>
      <c r="L23" s="252"/>
      <c r="M23" s="252"/>
      <c r="N23" s="252"/>
      <c r="O23" s="252"/>
      <c r="P23" s="252"/>
      <c r="Q23" s="253"/>
      <c r="R23" s="252"/>
      <c r="S23" s="252"/>
      <c r="T23" s="252"/>
      <c r="U23" s="252"/>
      <c r="V23" s="252"/>
      <c r="W23" s="252"/>
    </row>
    <row r="24" spans="1:24" s="1" customFormat="1" ht="18" customHeight="1">
      <c r="A24" s="61" t="s">
        <v>423</v>
      </c>
      <c r="B24" s="252">
        <f>SUM(B12:L20)-SUM('[2]52運用收益 (含實際)-OK '!$B$12:$L$20)</f>
        <v>0</v>
      </c>
      <c r="C24" s="254"/>
      <c r="D24" s="254"/>
      <c r="E24" s="254"/>
      <c r="F24" s="254"/>
      <c r="G24" s="254"/>
      <c r="H24" s="254"/>
      <c r="I24" s="254"/>
      <c r="J24" s="254"/>
      <c r="K24" s="254"/>
      <c r="L24" s="254"/>
      <c r="M24" s="254"/>
    </row>
    <row r="25" spans="1:24" ht="30.4" customHeight="1">
      <c r="A25" s="255"/>
      <c r="B25" s="255"/>
      <c r="C25" s="255"/>
      <c r="D25" s="255"/>
      <c r="E25" s="255"/>
      <c r="F25" s="255"/>
      <c r="G25" s="255"/>
      <c r="H25" s="255"/>
      <c r="I25" s="255"/>
      <c r="J25" s="255"/>
      <c r="K25" s="255"/>
      <c r="L25" s="255"/>
    </row>
    <row r="26" spans="1:24" ht="30.4" customHeight="1">
      <c r="A26" s="255"/>
      <c r="B26" s="255"/>
      <c r="C26" s="255"/>
      <c r="D26" s="255"/>
      <c r="E26" s="255"/>
      <c r="F26" s="255"/>
      <c r="G26" s="255"/>
      <c r="H26" s="255"/>
      <c r="I26" s="255"/>
      <c r="J26" s="255"/>
      <c r="K26" s="255"/>
      <c r="L26" s="255"/>
    </row>
    <row r="27" spans="1:24" ht="30.4" customHeight="1">
      <c r="A27" s="255"/>
      <c r="B27" s="255"/>
      <c r="C27" s="255"/>
      <c r="D27" s="255"/>
      <c r="E27" s="255"/>
      <c r="F27" s="255"/>
      <c r="G27" s="255"/>
      <c r="H27" s="255"/>
      <c r="I27" s="255"/>
      <c r="J27" s="255"/>
      <c r="K27" s="255"/>
      <c r="L27" s="255"/>
    </row>
    <row r="28" spans="1:24" ht="30.4" customHeight="1">
      <c r="B28" s="256"/>
      <c r="C28" s="256"/>
    </row>
  </sheetData>
  <mergeCells count="14">
    <mergeCell ref="I3:I5"/>
    <mergeCell ref="J3:J5"/>
    <mergeCell ref="K3:K5"/>
    <mergeCell ref="L3:L5"/>
    <mergeCell ref="A1:F1"/>
    <mergeCell ref="K2:L2"/>
    <mergeCell ref="A3:A5"/>
    <mergeCell ref="B3:B5"/>
    <mergeCell ref="C3:C5"/>
    <mergeCell ref="D3:D5"/>
    <mergeCell ref="E3:E5"/>
    <mergeCell ref="F3:F5"/>
    <mergeCell ref="G3:G5"/>
    <mergeCell ref="H3:H5"/>
  </mergeCells>
  <phoneticPr fontId="3" type="noConversion"/>
  <printOptions horizontalCentered="1"/>
  <pageMargins left="0.39370078740157483" right="0.39370078740157483" top="0.59055118110236227" bottom="0" header="0.23622047244094491" footer="0"/>
  <pageSetup paperSize="9" scale="94" fitToWidth="2" pageOrder="overThenDown" orientation="portrait" r:id="rId1"/>
  <headerFooter alignWithMargins="0"/>
</worksheet>
</file>

<file path=xl/worksheets/sheet55.xml><?xml version="1.0" encoding="utf-8"?>
<worksheet xmlns="http://schemas.openxmlformats.org/spreadsheetml/2006/main" xmlns:r="http://schemas.openxmlformats.org/officeDocument/2006/relationships">
  <sheetPr>
    <tabColor indexed="46"/>
    <pageSetUpPr fitToPage="1"/>
  </sheetPr>
  <dimension ref="A1:V31"/>
  <sheetViews>
    <sheetView view="pageBreakPreview" zoomScale="90" zoomScaleNormal="100" zoomScaleSheetLayoutView="90" workbookViewId="0">
      <pane xSplit="1" ySplit="7" topLeftCell="B18" activePane="bottomRight" state="frozen"/>
      <selection activeCell="E20" sqref="E20"/>
      <selection pane="topRight" activeCell="E20" sqref="E20"/>
      <selection pane="bottomLeft" activeCell="E20" sqref="E20"/>
      <selection pane="bottomRight" activeCell="E20" sqref="E20"/>
    </sheetView>
  </sheetViews>
  <sheetFormatPr defaultColWidth="29.875" defaultRowHeight="30.2" customHeight="1"/>
  <cols>
    <col min="1" max="1" width="8.125" style="14" customWidth="1"/>
    <col min="2" max="3" width="13.375" style="273" customWidth="1"/>
    <col min="4" max="4" width="13.375" style="273" bestFit="1" customWidth="1"/>
    <col min="5" max="5" width="12.75" style="273" customWidth="1"/>
    <col min="6" max="6" width="14.125" style="273" customWidth="1"/>
    <col min="7" max="7" width="12.125" style="273" customWidth="1"/>
    <col min="8" max="8" width="14.125" style="273" customWidth="1"/>
    <col min="9" max="9" width="12.5" style="273" customWidth="1"/>
    <col min="10" max="10" width="12.75" style="273" customWidth="1"/>
    <col min="11" max="11" width="12.125" style="273" customWidth="1"/>
    <col min="12" max="12" width="14.75" style="273" customWidth="1"/>
    <col min="13" max="13" width="12.875" style="273" customWidth="1"/>
    <col min="14" max="16" width="12.625" style="273" customWidth="1"/>
    <col min="17" max="16384" width="29.875" style="257"/>
  </cols>
  <sheetData>
    <row r="1" spans="1:16" s="60" customFormat="1" ht="33" customHeight="1">
      <c r="A1" s="1098" t="s">
        <v>550</v>
      </c>
      <c r="B1" s="1098"/>
      <c r="C1" s="1098"/>
      <c r="D1" s="1098"/>
      <c r="E1" s="1098"/>
      <c r="F1" s="1098"/>
      <c r="G1" s="1098"/>
      <c r="H1" s="1115"/>
      <c r="I1" s="1116" t="s">
        <v>551</v>
      </c>
      <c r="J1" s="1116"/>
      <c r="K1" s="1116"/>
      <c r="L1" s="1116"/>
      <c r="M1" s="1116"/>
      <c r="N1" s="1116"/>
      <c r="O1" s="1116"/>
      <c r="P1" s="1116"/>
    </row>
    <row r="2" spans="1:16" ht="33" customHeight="1">
      <c r="A2" s="1117" t="s">
        <v>552</v>
      </c>
      <c r="B2" s="1117"/>
      <c r="C2" s="1117"/>
      <c r="D2" s="1117"/>
      <c r="E2" s="1117"/>
      <c r="F2" s="1117"/>
      <c r="G2" s="1117"/>
      <c r="H2" s="1118"/>
      <c r="I2" s="1119" t="s">
        <v>370</v>
      </c>
      <c r="J2" s="1119"/>
      <c r="K2" s="1119"/>
      <c r="L2" s="1119"/>
      <c r="M2" s="1119"/>
      <c r="N2" s="1119"/>
      <c r="O2" s="1120" t="s">
        <v>553</v>
      </c>
      <c r="P2" s="1120"/>
    </row>
    <row r="3" spans="1:16" s="258" customFormat="1" ht="23.85" customHeight="1">
      <c r="A3" s="1121" t="s">
        <v>48</v>
      </c>
      <c r="B3" s="1111" t="s">
        <v>554</v>
      </c>
      <c r="C3" s="1124" t="s">
        <v>555</v>
      </c>
      <c r="D3" s="1124"/>
      <c r="E3" s="1124"/>
      <c r="F3" s="1124"/>
      <c r="G3" s="1124"/>
      <c r="H3" s="1124"/>
      <c r="I3" s="1124"/>
      <c r="J3" s="1125"/>
      <c r="K3" s="1125"/>
      <c r="L3" s="1125"/>
      <c r="M3" s="1126"/>
      <c r="N3" s="1125" t="s">
        <v>556</v>
      </c>
      <c r="O3" s="1125"/>
      <c r="P3" s="1125"/>
    </row>
    <row r="4" spans="1:16" s="258" customFormat="1" ht="23.85" customHeight="1">
      <c r="A4" s="868"/>
      <c r="B4" s="1122"/>
      <c r="C4" s="1111" t="s">
        <v>497</v>
      </c>
      <c r="D4" s="1108" t="s">
        <v>557</v>
      </c>
      <c r="E4" s="1108"/>
      <c r="F4" s="1108"/>
      <c r="G4" s="1108"/>
      <c r="H4" s="1108"/>
      <c r="I4" s="1108"/>
      <c r="J4" s="1108"/>
      <c r="K4" s="1108"/>
      <c r="L4" s="1109" t="s">
        <v>558</v>
      </c>
      <c r="M4" s="1111" t="s">
        <v>559</v>
      </c>
      <c r="N4" s="1111" t="s">
        <v>61</v>
      </c>
      <c r="O4" s="1111" t="s">
        <v>560</v>
      </c>
      <c r="P4" s="1113" t="s">
        <v>561</v>
      </c>
    </row>
    <row r="5" spans="1:16" s="258" customFormat="1" ht="31.9" customHeight="1">
      <c r="A5" s="809"/>
      <c r="B5" s="1123"/>
      <c r="C5" s="1112"/>
      <c r="D5" s="259" t="s">
        <v>58</v>
      </c>
      <c r="E5" s="259" t="s">
        <v>562</v>
      </c>
      <c r="F5" s="260" t="s">
        <v>563</v>
      </c>
      <c r="G5" s="260" t="s">
        <v>564</v>
      </c>
      <c r="H5" s="261" t="s">
        <v>565</v>
      </c>
      <c r="I5" s="262" t="s">
        <v>566</v>
      </c>
      <c r="J5" s="263" t="s">
        <v>567</v>
      </c>
      <c r="K5" s="259" t="s">
        <v>568</v>
      </c>
      <c r="L5" s="1110"/>
      <c r="M5" s="1112"/>
      <c r="N5" s="1112"/>
      <c r="O5" s="1112"/>
      <c r="P5" s="1114"/>
    </row>
    <row r="6" spans="1:16" ht="59.45" hidden="1" customHeight="1">
      <c r="A6" s="170" t="s">
        <v>53</v>
      </c>
      <c r="B6" s="264">
        <f t="shared" ref="B6:B15" si="0">+C6-N6</f>
        <v>229994925</v>
      </c>
      <c r="C6" s="265">
        <f t="shared" ref="C6:C15" si="1">+D6+L6+M6</f>
        <v>239491978</v>
      </c>
      <c r="D6" s="265">
        <f t="shared" ref="D6:D21" si="2">SUM(E6:K6)</f>
        <v>223176313</v>
      </c>
      <c r="E6" s="265">
        <v>63013311</v>
      </c>
      <c r="F6" s="265">
        <v>156266009</v>
      </c>
      <c r="G6" s="265"/>
      <c r="H6" s="265">
        <v>0</v>
      </c>
      <c r="I6" s="265"/>
      <c r="J6" s="265">
        <v>3784740</v>
      </c>
      <c r="K6" s="265">
        <v>112253</v>
      </c>
      <c r="L6" s="265">
        <v>16150422</v>
      </c>
      <c r="M6" s="265">
        <v>165243</v>
      </c>
      <c r="N6" s="265">
        <f t="shared" ref="N6:N21" si="3">SUM(O6:P6)</f>
        <v>9497053</v>
      </c>
      <c r="O6" s="265">
        <v>9496709</v>
      </c>
      <c r="P6" s="265">
        <v>344</v>
      </c>
    </row>
    <row r="7" spans="1:16" ht="59.45" hidden="1" customHeight="1">
      <c r="A7" s="170" t="s">
        <v>60</v>
      </c>
      <c r="B7" s="264">
        <f t="shared" si="0"/>
        <v>260182443</v>
      </c>
      <c r="C7" s="265">
        <f t="shared" si="1"/>
        <v>261107991</v>
      </c>
      <c r="D7" s="265">
        <f t="shared" si="2"/>
        <v>234327969</v>
      </c>
      <c r="E7" s="265">
        <v>84021743</v>
      </c>
      <c r="F7" s="265">
        <v>149295753</v>
      </c>
      <c r="G7" s="265"/>
      <c r="H7" s="265">
        <v>0</v>
      </c>
      <c r="I7" s="265"/>
      <c r="J7" s="265">
        <v>967894</v>
      </c>
      <c r="K7" s="265">
        <v>42579</v>
      </c>
      <c r="L7" s="265">
        <v>26616610</v>
      </c>
      <c r="M7" s="265">
        <v>163412</v>
      </c>
      <c r="N7" s="265">
        <f t="shared" si="3"/>
        <v>925548</v>
      </c>
      <c r="O7" s="265">
        <v>923775</v>
      </c>
      <c r="P7" s="265">
        <v>1773</v>
      </c>
    </row>
    <row r="8" spans="1:16" ht="59.45" hidden="1" customHeight="1">
      <c r="A8" s="170" t="s">
        <v>54</v>
      </c>
      <c r="B8" s="264">
        <f t="shared" si="0"/>
        <v>298788789</v>
      </c>
      <c r="C8" s="265">
        <f t="shared" si="1"/>
        <v>301757043</v>
      </c>
      <c r="D8" s="265">
        <f t="shared" si="2"/>
        <v>235641537</v>
      </c>
      <c r="E8" s="265">
        <v>70810515</v>
      </c>
      <c r="F8" s="265">
        <v>159669532</v>
      </c>
      <c r="G8" s="265"/>
      <c r="H8" s="265">
        <v>0</v>
      </c>
      <c r="I8" s="265"/>
      <c r="J8" s="265">
        <v>3773675</v>
      </c>
      <c r="K8" s="265">
        <v>1387815</v>
      </c>
      <c r="L8" s="265">
        <v>65954284</v>
      </c>
      <c r="M8" s="265">
        <v>161222</v>
      </c>
      <c r="N8" s="265">
        <f t="shared" si="3"/>
        <v>2968254</v>
      </c>
      <c r="O8" s="265">
        <v>2967780</v>
      </c>
      <c r="P8" s="265">
        <v>474</v>
      </c>
    </row>
    <row r="9" spans="1:16" ht="59.45" hidden="1" customHeight="1">
      <c r="A9" s="170" t="s">
        <v>8</v>
      </c>
      <c r="B9" s="264">
        <f t="shared" si="0"/>
        <v>363095751</v>
      </c>
      <c r="C9" s="265">
        <f t="shared" si="1"/>
        <v>364911027</v>
      </c>
      <c r="D9" s="265">
        <f t="shared" si="2"/>
        <v>277623436</v>
      </c>
      <c r="E9" s="265">
        <v>102563650</v>
      </c>
      <c r="F9" s="265">
        <v>169528904</v>
      </c>
      <c r="G9" s="265"/>
      <c r="H9" s="265">
        <v>0</v>
      </c>
      <c r="I9" s="265"/>
      <c r="J9" s="265">
        <v>3688956</v>
      </c>
      <c r="K9" s="265">
        <v>1841926</v>
      </c>
      <c r="L9" s="265">
        <v>87127857</v>
      </c>
      <c r="M9" s="265">
        <v>159734</v>
      </c>
      <c r="N9" s="265">
        <f t="shared" si="3"/>
        <v>1815276</v>
      </c>
      <c r="O9" s="265">
        <v>1814135</v>
      </c>
      <c r="P9" s="265">
        <v>1141</v>
      </c>
    </row>
    <row r="10" spans="1:16" ht="59.45" hidden="1" customHeight="1">
      <c r="A10" s="170" t="s">
        <v>1</v>
      </c>
      <c r="B10" s="265">
        <f t="shared" si="0"/>
        <v>349703195</v>
      </c>
      <c r="C10" s="265">
        <f t="shared" si="1"/>
        <v>350904957</v>
      </c>
      <c r="D10" s="265">
        <f t="shared" si="2"/>
        <v>279234279</v>
      </c>
      <c r="E10" s="265">
        <v>71536189</v>
      </c>
      <c r="F10" s="265">
        <v>202266466</v>
      </c>
      <c r="G10" s="265">
        <v>0</v>
      </c>
      <c r="H10" s="265">
        <v>0</v>
      </c>
      <c r="I10" s="265">
        <v>0</v>
      </c>
      <c r="J10" s="265">
        <v>3001221</v>
      </c>
      <c r="K10" s="265">
        <v>2430403</v>
      </c>
      <c r="L10" s="265">
        <v>71574606</v>
      </c>
      <c r="M10" s="265">
        <v>96072</v>
      </c>
      <c r="N10" s="265">
        <f t="shared" si="3"/>
        <v>1201762</v>
      </c>
      <c r="O10" s="265">
        <v>1201746</v>
      </c>
      <c r="P10" s="265">
        <v>16</v>
      </c>
    </row>
    <row r="11" spans="1:16" ht="59.45" hidden="1" customHeight="1">
      <c r="A11" s="170" t="s">
        <v>2</v>
      </c>
      <c r="B11" s="265">
        <f t="shared" si="0"/>
        <v>452509391</v>
      </c>
      <c r="C11" s="265">
        <f t="shared" si="1"/>
        <v>455897576</v>
      </c>
      <c r="D11" s="265">
        <f t="shared" si="2"/>
        <v>378872375</v>
      </c>
      <c r="E11" s="265">
        <v>95289147</v>
      </c>
      <c r="F11" s="265">
        <v>276235164</v>
      </c>
      <c r="G11" s="265">
        <v>0</v>
      </c>
      <c r="H11" s="265">
        <v>0</v>
      </c>
      <c r="I11" s="265">
        <v>0</v>
      </c>
      <c r="J11" s="265">
        <v>4573794</v>
      </c>
      <c r="K11" s="265">
        <v>2774270</v>
      </c>
      <c r="L11" s="265">
        <v>76930350</v>
      </c>
      <c r="M11" s="265">
        <v>94851</v>
      </c>
      <c r="N11" s="265">
        <f t="shared" si="3"/>
        <v>3388185</v>
      </c>
      <c r="O11" s="265">
        <v>3388185</v>
      </c>
      <c r="P11" s="265">
        <v>0</v>
      </c>
    </row>
    <row r="12" spans="1:16" ht="59.45" customHeight="1">
      <c r="A12" s="170" t="s">
        <v>3</v>
      </c>
      <c r="B12" s="265">
        <f t="shared" si="0"/>
        <v>492774703</v>
      </c>
      <c r="C12" s="265">
        <f t="shared" si="1"/>
        <v>496550194</v>
      </c>
      <c r="D12" s="265">
        <f t="shared" si="2"/>
        <v>420079982</v>
      </c>
      <c r="E12" s="265">
        <v>93382426</v>
      </c>
      <c r="F12" s="265">
        <v>312432593</v>
      </c>
      <c r="G12" s="265">
        <v>0</v>
      </c>
      <c r="H12" s="265">
        <v>4036192</v>
      </c>
      <c r="I12" s="265">
        <v>0</v>
      </c>
      <c r="J12" s="265">
        <v>7010763</v>
      </c>
      <c r="K12" s="265">
        <v>3218008</v>
      </c>
      <c r="L12" s="265">
        <v>76376052</v>
      </c>
      <c r="M12" s="265">
        <v>94160</v>
      </c>
      <c r="N12" s="265">
        <f t="shared" si="3"/>
        <v>3775491</v>
      </c>
      <c r="O12" s="265">
        <v>3775491</v>
      </c>
      <c r="P12" s="265">
        <v>0</v>
      </c>
    </row>
    <row r="13" spans="1:16" ht="59.45" customHeight="1">
      <c r="A13" s="170" t="s">
        <v>4</v>
      </c>
      <c r="B13" s="266">
        <f t="shared" si="0"/>
        <v>479429841</v>
      </c>
      <c r="C13" s="265">
        <f t="shared" si="1"/>
        <v>482144650</v>
      </c>
      <c r="D13" s="265">
        <f t="shared" si="2"/>
        <v>397716674</v>
      </c>
      <c r="E13" s="265">
        <v>80025276</v>
      </c>
      <c r="F13" s="265">
        <v>306018098</v>
      </c>
      <c r="G13" s="265">
        <v>0</v>
      </c>
      <c r="H13" s="265">
        <v>2004460</v>
      </c>
      <c r="I13" s="265">
        <v>0</v>
      </c>
      <c r="J13" s="265">
        <v>5861727</v>
      </c>
      <c r="K13" s="265">
        <v>3807113</v>
      </c>
      <c r="L13" s="265">
        <v>84335563</v>
      </c>
      <c r="M13" s="265">
        <v>92413</v>
      </c>
      <c r="N13" s="265">
        <f t="shared" si="3"/>
        <v>2714809</v>
      </c>
      <c r="O13" s="265">
        <v>2713160</v>
      </c>
      <c r="P13" s="265">
        <v>1649</v>
      </c>
    </row>
    <row r="14" spans="1:16" ht="59.45" customHeight="1">
      <c r="A14" s="170" t="s">
        <v>5</v>
      </c>
      <c r="B14" s="266">
        <f t="shared" si="0"/>
        <v>518141371</v>
      </c>
      <c r="C14" s="265">
        <f t="shared" si="1"/>
        <v>519273738</v>
      </c>
      <c r="D14" s="265">
        <f t="shared" si="2"/>
        <v>424194148</v>
      </c>
      <c r="E14" s="265">
        <v>93459921</v>
      </c>
      <c r="F14" s="265">
        <v>314226393</v>
      </c>
      <c r="G14" s="265">
        <v>0</v>
      </c>
      <c r="H14" s="265">
        <v>5952854</v>
      </c>
      <c r="I14" s="265">
        <v>0</v>
      </c>
      <c r="J14" s="265">
        <v>6187629</v>
      </c>
      <c r="K14" s="265">
        <f>4367350+1</f>
        <v>4367351</v>
      </c>
      <c r="L14" s="265">
        <v>95079590</v>
      </c>
      <c r="M14" s="265">
        <v>0</v>
      </c>
      <c r="N14" s="265">
        <f t="shared" si="3"/>
        <v>1132367</v>
      </c>
      <c r="O14" s="265">
        <v>1132367</v>
      </c>
      <c r="P14" s="265">
        <v>0</v>
      </c>
    </row>
    <row r="15" spans="1:16" ht="59.45" customHeight="1">
      <c r="A15" s="170" t="s">
        <v>6</v>
      </c>
      <c r="B15" s="266">
        <f t="shared" si="0"/>
        <v>562449073</v>
      </c>
      <c r="C15" s="265">
        <f t="shared" si="1"/>
        <v>563137547</v>
      </c>
      <c r="D15" s="265">
        <f t="shared" si="2"/>
        <v>464442265</v>
      </c>
      <c r="E15" s="265">
        <v>108356027</v>
      </c>
      <c r="F15" s="265">
        <f>342282950+1</f>
        <v>342282951</v>
      </c>
      <c r="G15" s="265">
        <v>0</v>
      </c>
      <c r="H15" s="265">
        <v>2950007</v>
      </c>
      <c r="I15" s="265">
        <v>0</v>
      </c>
      <c r="J15" s="265">
        <v>5809882</v>
      </c>
      <c r="K15" s="265">
        <v>5043398</v>
      </c>
      <c r="L15" s="265">
        <v>98695282</v>
      </c>
      <c r="M15" s="265">
        <v>0</v>
      </c>
      <c r="N15" s="265">
        <f t="shared" si="3"/>
        <v>688474</v>
      </c>
      <c r="O15" s="265">
        <v>688290</v>
      </c>
      <c r="P15" s="265">
        <v>184</v>
      </c>
    </row>
    <row r="16" spans="1:16" ht="59.45" customHeight="1">
      <c r="A16" s="267" t="s">
        <v>246</v>
      </c>
      <c r="B16" s="266">
        <f>+C16-N16</f>
        <v>594769523</v>
      </c>
      <c r="C16" s="265">
        <f>+D16+L16+M16</f>
        <v>595526075</v>
      </c>
      <c r="D16" s="265">
        <f>SUM(E16:K16)</f>
        <v>489083723</v>
      </c>
      <c r="E16" s="265">
        <v>127218873</v>
      </c>
      <c r="F16" s="265">
        <f>345180899+1</f>
        <v>345180900</v>
      </c>
      <c r="G16" s="265">
        <v>0</v>
      </c>
      <c r="H16" s="265">
        <v>6155303</v>
      </c>
      <c r="I16" s="265">
        <v>0</v>
      </c>
      <c r="J16" s="265">
        <v>4913157</v>
      </c>
      <c r="K16" s="265">
        <v>5615490</v>
      </c>
      <c r="L16" s="265">
        <v>106442352</v>
      </c>
      <c r="M16" s="265">
        <v>0</v>
      </c>
      <c r="N16" s="265">
        <f>SUM(O16:P16)</f>
        <v>756552</v>
      </c>
      <c r="O16" s="265">
        <v>756552</v>
      </c>
      <c r="P16" s="265">
        <v>0</v>
      </c>
    </row>
    <row r="17" spans="1:22" ht="59.45" customHeight="1">
      <c r="A17" s="267" t="s">
        <v>55</v>
      </c>
      <c r="B17" s="266">
        <f>+C17-N17</f>
        <v>573790059</v>
      </c>
      <c r="C17" s="265">
        <f>+D17+L17+M17</f>
        <v>574852300</v>
      </c>
      <c r="D17" s="265">
        <f>SUM(E17:K17)</f>
        <v>464905100</v>
      </c>
      <c r="E17" s="265">
        <v>97326263</v>
      </c>
      <c r="F17" s="265">
        <f>314341820-G17</f>
        <v>287746084</v>
      </c>
      <c r="G17" s="265">
        <v>26595736</v>
      </c>
      <c r="H17" s="265">
        <v>42651189</v>
      </c>
      <c r="I17" s="265">
        <v>0</v>
      </c>
      <c r="J17" s="265">
        <v>4375457</v>
      </c>
      <c r="K17" s="265">
        <v>6210371</v>
      </c>
      <c r="L17" s="265">
        <v>109947199</v>
      </c>
      <c r="M17" s="265">
        <v>1</v>
      </c>
      <c r="N17" s="265">
        <f>SUM(O17:P17)</f>
        <v>1062241</v>
      </c>
      <c r="O17" s="265">
        <v>1062241</v>
      </c>
      <c r="P17" s="265">
        <v>0</v>
      </c>
    </row>
    <row r="18" spans="1:22" ht="59.45" customHeight="1">
      <c r="A18" s="267" t="s">
        <v>99</v>
      </c>
      <c r="B18" s="266">
        <f t="shared" ref="B18:B19" si="4">+C18-N18</f>
        <v>578520853</v>
      </c>
      <c r="C18" s="265">
        <f t="shared" ref="C18:C20" si="5">+D18+L18+M18</f>
        <v>579327164</v>
      </c>
      <c r="D18" s="265">
        <f t="shared" ref="D18:D20" si="6">SUM(E18:K18)</f>
        <v>437953441</v>
      </c>
      <c r="E18" s="265">
        <v>94575938</v>
      </c>
      <c r="F18" s="265">
        <f>260870116-G18</f>
        <v>229452449</v>
      </c>
      <c r="G18" s="265">
        <v>31417667</v>
      </c>
      <c r="H18" s="265">
        <v>72114461</v>
      </c>
      <c r="I18" s="265">
        <v>0</v>
      </c>
      <c r="J18" s="265">
        <v>3450967</v>
      </c>
      <c r="K18" s="265">
        <v>6941959</v>
      </c>
      <c r="L18" s="265">
        <v>141373723</v>
      </c>
      <c r="M18" s="265">
        <v>0</v>
      </c>
      <c r="N18" s="265">
        <f t="shared" ref="N18" si="7">SUM(O18:P18)</f>
        <v>806311</v>
      </c>
      <c r="O18" s="265">
        <v>806311</v>
      </c>
      <c r="P18" s="265">
        <v>0</v>
      </c>
    </row>
    <row r="19" spans="1:22" ht="59.45" customHeight="1">
      <c r="A19" s="267" t="s">
        <v>98</v>
      </c>
      <c r="B19" s="266">
        <f t="shared" si="4"/>
        <v>591333260</v>
      </c>
      <c r="C19" s="265">
        <f t="shared" si="5"/>
        <v>594218317</v>
      </c>
      <c r="D19" s="265">
        <f t="shared" si="6"/>
        <v>470494260</v>
      </c>
      <c r="E19" s="265">
        <v>73292032</v>
      </c>
      <c r="F19" s="265">
        <v>262485377</v>
      </c>
      <c r="G19" s="265">
        <v>19593624</v>
      </c>
      <c r="H19" s="265">
        <v>73105297</v>
      </c>
      <c r="I19" s="265">
        <v>32640000</v>
      </c>
      <c r="J19" s="265">
        <v>2419517</v>
      </c>
      <c r="K19" s="265">
        <v>6958413</v>
      </c>
      <c r="L19" s="265">
        <v>123724057</v>
      </c>
      <c r="M19" s="265">
        <v>0</v>
      </c>
      <c r="N19" s="265">
        <f t="shared" ref="N19:N20" si="8">SUM(O19:P19)</f>
        <v>2885057</v>
      </c>
      <c r="O19" s="265">
        <v>2885057</v>
      </c>
      <c r="P19" s="265">
        <v>0</v>
      </c>
    </row>
    <row r="20" spans="1:22" ht="59.45" customHeight="1">
      <c r="A20" s="267" t="s">
        <v>189</v>
      </c>
      <c r="B20" s="266">
        <v>560173910</v>
      </c>
      <c r="C20" s="265">
        <f t="shared" si="5"/>
        <v>567415737</v>
      </c>
      <c r="D20" s="265">
        <f t="shared" si="6"/>
        <v>428123956</v>
      </c>
      <c r="E20" s="265">
        <v>58306628</v>
      </c>
      <c r="F20" s="265">
        <v>238609415</v>
      </c>
      <c r="G20" s="265">
        <v>23017646</v>
      </c>
      <c r="H20" s="265">
        <v>67015652</v>
      </c>
      <c r="I20" s="265">
        <v>31550000</v>
      </c>
      <c r="J20" s="265">
        <v>2435290</v>
      </c>
      <c r="K20" s="265">
        <v>7189325</v>
      </c>
      <c r="L20" s="265">
        <v>139291781</v>
      </c>
      <c r="M20" s="265">
        <v>0</v>
      </c>
      <c r="N20" s="265">
        <f t="shared" si="8"/>
        <v>7241827</v>
      </c>
      <c r="O20" s="265">
        <v>7241827</v>
      </c>
      <c r="P20" s="265">
        <v>0</v>
      </c>
    </row>
    <row r="21" spans="1:22" ht="59.45" customHeight="1">
      <c r="A21" s="268" t="s">
        <v>367</v>
      </c>
      <c r="B21" s="269">
        <f>C21-N21</f>
        <v>604973875</v>
      </c>
      <c r="C21" s="270">
        <f>+D21+L21+M21-1</f>
        <v>613049569</v>
      </c>
      <c r="D21" s="270">
        <f t="shared" si="2"/>
        <v>438464094</v>
      </c>
      <c r="E21" s="271">
        <v>39351710</v>
      </c>
      <c r="F21" s="271">
        <v>289343579</v>
      </c>
      <c r="G21" s="271">
        <v>14415967</v>
      </c>
      <c r="H21" s="271">
        <v>43595919</v>
      </c>
      <c r="I21" s="271">
        <v>41014764</v>
      </c>
      <c r="J21" s="271">
        <v>3130743</v>
      </c>
      <c r="K21" s="271">
        <v>7611412</v>
      </c>
      <c r="L21" s="271">
        <v>174585476</v>
      </c>
      <c r="M21" s="271">
        <v>0</v>
      </c>
      <c r="N21" s="270">
        <f t="shared" si="3"/>
        <v>8075694</v>
      </c>
      <c r="O21" s="271">
        <v>8075694</v>
      </c>
      <c r="P21" s="270">
        <v>0</v>
      </c>
    </row>
    <row r="22" spans="1:22" s="272" customFormat="1" ht="18" customHeight="1">
      <c r="A22" s="82" t="s">
        <v>569</v>
      </c>
      <c r="B22" s="82"/>
      <c r="C22" s="82"/>
      <c r="D22" s="82"/>
      <c r="E22" s="82"/>
      <c r="F22" s="82"/>
      <c r="G22" s="82"/>
      <c r="H22" s="82"/>
      <c r="I22" s="82"/>
      <c r="J22" s="82"/>
      <c r="K22" s="82"/>
      <c r="L22" s="82"/>
      <c r="M22" s="82"/>
      <c r="N22" s="82"/>
      <c r="O22" s="82"/>
      <c r="P22" s="82"/>
    </row>
    <row r="23" spans="1:22" ht="15.75">
      <c r="A23" s="82" t="s">
        <v>669</v>
      </c>
    </row>
    <row r="24" spans="1:22" s="272" customFormat="1" ht="18" customHeight="1">
      <c r="A24" s="82" t="s">
        <v>570</v>
      </c>
      <c r="B24" s="82"/>
      <c r="C24" s="82"/>
      <c r="D24" s="82"/>
      <c r="E24" s="82"/>
      <c r="F24" s="82"/>
      <c r="G24" s="82"/>
      <c r="H24" s="82"/>
      <c r="I24" s="82"/>
      <c r="J24" s="82"/>
      <c r="K24" s="82"/>
      <c r="L24" s="82"/>
      <c r="M24" s="82"/>
      <c r="N24" s="82"/>
      <c r="O24" s="82"/>
      <c r="P24" s="82"/>
    </row>
    <row r="25" spans="1:22" s="272" customFormat="1" ht="27.95" customHeight="1">
      <c r="A25" s="1106" t="s">
        <v>571</v>
      </c>
      <c r="B25" s="1107"/>
      <c r="C25" s="1107"/>
      <c r="D25" s="1107"/>
      <c r="E25" s="1107"/>
      <c r="F25" s="1107"/>
      <c r="G25" s="1107"/>
      <c r="H25" s="1107"/>
      <c r="I25" s="274"/>
      <c r="J25" s="82"/>
      <c r="K25" s="82"/>
      <c r="L25" s="82"/>
      <c r="M25" s="82"/>
      <c r="N25" s="82"/>
      <c r="O25" s="82"/>
      <c r="P25" s="82"/>
    </row>
    <row r="26" spans="1:22" s="272" customFormat="1" ht="18" customHeight="1">
      <c r="A26" s="82" t="s">
        <v>572</v>
      </c>
      <c r="B26" s="82"/>
      <c r="C26" s="82"/>
      <c r="D26" s="82"/>
      <c r="E26" s="82"/>
      <c r="F26" s="82"/>
      <c r="G26" s="82"/>
      <c r="H26" s="82"/>
      <c r="I26" s="82"/>
      <c r="J26" s="82"/>
      <c r="K26" s="82"/>
      <c r="L26" s="82"/>
      <c r="M26" s="82"/>
      <c r="N26" s="82"/>
      <c r="O26" s="82"/>
      <c r="P26" s="82"/>
    </row>
    <row r="27" spans="1:22" s="279" customFormat="1" ht="15.75">
      <c r="A27" s="82" t="s">
        <v>573</v>
      </c>
      <c r="B27" s="275"/>
      <c r="C27" s="275"/>
      <c r="D27" s="275"/>
      <c r="E27" s="275"/>
      <c r="F27" s="275"/>
      <c r="G27" s="275"/>
      <c r="H27" s="275"/>
      <c r="I27" s="275"/>
      <c r="J27" s="276"/>
      <c r="K27" s="276"/>
      <c r="L27" s="276"/>
      <c r="M27" s="277"/>
      <c r="N27" s="277"/>
      <c r="O27" s="277"/>
      <c r="P27" s="278"/>
      <c r="Q27" s="277"/>
      <c r="R27" s="277"/>
      <c r="S27" s="277"/>
      <c r="T27" s="277"/>
      <c r="U27" s="277"/>
      <c r="V27" s="277"/>
    </row>
    <row r="28" spans="1:22" s="279" customFormat="1" ht="33.4" customHeight="1">
      <c r="A28" s="1106" t="s">
        <v>574</v>
      </c>
      <c r="B28" s="1106"/>
      <c r="C28" s="1106"/>
      <c r="D28" s="1106"/>
      <c r="E28" s="1106"/>
      <c r="F28" s="1106"/>
      <c r="G28" s="1106"/>
      <c r="H28" s="1106"/>
      <c r="I28" s="275"/>
      <c r="J28" s="276"/>
      <c r="K28" s="276"/>
      <c r="L28" s="276"/>
      <c r="M28" s="277"/>
      <c r="N28" s="277"/>
      <c r="O28" s="277"/>
      <c r="P28" s="278"/>
      <c r="Q28" s="277"/>
      <c r="R28" s="277"/>
      <c r="S28" s="277"/>
      <c r="T28" s="277"/>
      <c r="U28" s="277"/>
      <c r="V28" s="277"/>
    </row>
    <row r="29" spans="1:22" s="272" customFormat="1" ht="13.15" customHeight="1">
      <c r="A29" s="82" t="s">
        <v>575</v>
      </c>
      <c r="B29" s="82"/>
      <c r="C29" s="82"/>
      <c r="D29" s="82"/>
      <c r="E29" s="82"/>
      <c r="F29" s="82"/>
      <c r="G29" s="82"/>
      <c r="H29" s="82"/>
      <c r="I29" s="82"/>
      <c r="J29" s="82"/>
      <c r="K29" s="82"/>
      <c r="L29" s="82"/>
      <c r="M29" s="82"/>
      <c r="N29" s="82"/>
      <c r="O29" s="82"/>
      <c r="P29" s="82"/>
    </row>
    <row r="30" spans="1:22" ht="16.5">
      <c r="B30" s="280">
        <f>C21-N21-B21</f>
        <v>0</v>
      </c>
      <c r="C30" s="280">
        <f>C21-'54資產明細-OK '!B20</f>
        <v>0</v>
      </c>
      <c r="D30" s="281"/>
      <c r="E30" s="281"/>
      <c r="F30" s="281"/>
      <c r="G30" s="281"/>
      <c r="H30" s="281"/>
      <c r="I30" s="281"/>
      <c r="J30" s="281"/>
      <c r="K30" s="281"/>
      <c r="L30" s="281"/>
      <c r="M30" s="281"/>
      <c r="N30" s="281"/>
      <c r="O30" s="281"/>
      <c r="P30" s="281"/>
    </row>
    <row r="31" spans="1:22" ht="15.75">
      <c r="A31" s="61" t="s">
        <v>423</v>
      </c>
      <c r="B31" s="280">
        <f>SUM(B12:P20)-SUM('[2]53平衡表-OK '!$B$12:$P$20)</f>
        <v>0</v>
      </c>
      <c r="C31" s="281"/>
      <c r="D31" s="281"/>
      <c r="E31" s="281"/>
      <c r="F31" s="281"/>
      <c r="G31" s="281"/>
      <c r="H31" s="281"/>
      <c r="I31" s="281"/>
      <c r="J31" s="281"/>
      <c r="K31" s="281"/>
      <c r="L31" s="281"/>
      <c r="M31" s="281"/>
      <c r="N31" s="281"/>
      <c r="O31" s="281"/>
      <c r="P31" s="281"/>
    </row>
  </sheetData>
  <mergeCells count="18">
    <mergeCell ref="N4:N5"/>
    <mergeCell ref="O4:O5"/>
    <mergeCell ref="P4:P5"/>
    <mergeCell ref="A1:H1"/>
    <mergeCell ref="I1:P1"/>
    <mergeCell ref="A2:H2"/>
    <mergeCell ref="I2:N2"/>
    <mergeCell ref="O2:P2"/>
    <mergeCell ref="A3:A5"/>
    <mergeCell ref="B3:B5"/>
    <mergeCell ref="C3:M3"/>
    <mergeCell ref="N3:P3"/>
    <mergeCell ref="C4:C5"/>
    <mergeCell ref="A25:H25"/>
    <mergeCell ref="A28:H28"/>
    <mergeCell ref="D4:K4"/>
    <mergeCell ref="L4:L5"/>
    <mergeCell ref="M4:M5"/>
  </mergeCells>
  <phoneticPr fontId="3" type="noConversion"/>
  <pageMargins left="0.39" right="0" top="0.59055118110236227" bottom="0.31" header="0" footer="0"/>
  <pageSetup paperSize="9" scale="91" fitToWidth="2" pageOrder="overThenDown" orientation="portrait" r:id="rId1"/>
  <headerFooter alignWithMargins="0"/>
  <legacyDrawing r:id="rId2"/>
</worksheet>
</file>

<file path=xl/worksheets/sheet56.xml><?xml version="1.0" encoding="utf-8"?>
<worksheet xmlns="http://schemas.openxmlformats.org/spreadsheetml/2006/main" xmlns:r="http://schemas.openxmlformats.org/officeDocument/2006/relationships">
  <sheetPr>
    <tabColor indexed="46"/>
  </sheetPr>
  <dimension ref="A1:X28"/>
  <sheetViews>
    <sheetView view="pageBreakPreview" zoomScale="75" zoomScaleNormal="100" zoomScaleSheetLayoutView="75" workbookViewId="0">
      <pane xSplit="1" ySplit="6" topLeftCell="B14" activePane="bottomRight" state="frozen"/>
      <selection activeCell="E20" sqref="E20"/>
      <selection pane="topRight" activeCell="E20" sqref="E20"/>
      <selection pane="bottomLeft" activeCell="E20" sqref="E20"/>
      <selection pane="bottomRight" activeCell="E20" sqref="E20"/>
    </sheetView>
  </sheetViews>
  <sheetFormatPr defaultColWidth="29.875" defaultRowHeight="30.2" customHeight="1"/>
  <cols>
    <col min="1" max="1" width="14.5" style="273" customWidth="1"/>
    <col min="2" max="2" width="18" style="273" customWidth="1"/>
    <col min="3" max="5" width="13.625" style="273" customWidth="1"/>
    <col min="6" max="6" width="16.625" style="273" customWidth="1"/>
    <col min="7" max="8" width="13.625" style="273" customWidth="1"/>
    <col min="9" max="9" width="18" style="273" customWidth="1"/>
    <col min="10" max="10" width="14.625" style="273" customWidth="1"/>
    <col min="11" max="11" width="13.625" style="273" customWidth="1"/>
    <col min="12" max="12" width="14.375" style="273" customWidth="1"/>
    <col min="13" max="16384" width="29.875" style="257"/>
  </cols>
  <sheetData>
    <row r="1" spans="1:24" s="60" customFormat="1" ht="33" customHeight="1">
      <c r="A1" s="1098" t="s">
        <v>576</v>
      </c>
      <c r="B1" s="1098"/>
      <c r="C1" s="1098"/>
      <c r="D1" s="1098"/>
      <c r="E1" s="1098"/>
      <c r="F1" s="1098"/>
      <c r="G1" s="885" t="s">
        <v>577</v>
      </c>
      <c r="H1" s="885"/>
      <c r="I1" s="885"/>
      <c r="J1" s="885"/>
      <c r="K1" s="885"/>
      <c r="L1" s="885"/>
    </row>
    <row r="2" spans="1:24" ht="33" customHeight="1">
      <c r="A2" s="1117" t="s">
        <v>369</v>
      </c>
      <c r="B2" s="1117"/>
      <c r="C2" s="1117"/>
      <c r="D2" s="1117"/>
      <c r="E2" s="1117"/>
      <c r="F2" s="1117"/>
      <c r="G2" s="1119" t="s">
        <v>370</v>
      </c>
      <c r="H2" s="1119"/>
      <c r="I2" s="1119"/>
      <c r="J2" s="1119"/>
      <c r="K2" s="1120" t="s">
        <v>65</v>
      </c>
      <c r="L2" s="1120"/>
      <c r="U2" s="257" t="s">
        <v>532</v>
      </c>
    </row>
    <row r="3" spans="1:24" s="258" customFormat="1" ht="39.950000000000003" customHeight="1">
      <c r="A3" s="1128" t="s">
        <v>48</v>
      </c>
      <c r="B3" s="1130" t="s">
        <v>578</v>
      </c>
      <c r="C3" s="1130" t="s">
        <v>579</v>
      </c>
      <c r="D3" s="1111" t="s">
        <v>580</v>
      </c>
      <c r="E3" s="1113" t="s">
        <v>581</v>
      </c>
      <c r="F3" s="1111" t="s">
        <v>582</v>
      </c>
      <c r="G3" s="1108"/>
      <c r="H3" s="1108"/>
      <c r="I3" s="1108" t="s">
        <v>583</v>
      </c>
      <c r="J3" s="1108" t="s">
        <v>567</v>
      </c>
      <c r="K3" s="1108" t="s">
        <v>568</v>
      </c>
      <c r="L3" s="1127" t="s">
        <v>559</v>
      </c>
    </row>
    <row r="4" spans="1:24" s="258" customFormat="1" ht="23.25" customHeight="1">
      <c r="A4" s="1129"/>
      <c r="B4" s="1131"/>
      <c r="C4" s="1131"/>
      <c r="D4" s="1112"/>
      <c r="E4" s="1114"/>
      <c r="F4" s="282" t="s">
        <v>58</v>
      </c>
      <c r="G4" s="263" t="s">
        <v>584</v>
      </c>
      <c r="H4" s="259" t="s">
        <v>585</v>
      </c>
      <c r="I4" s="1108"/>
      <c r="J4" s="1108"/>
      <c r="K4" s="1108"/>
      <c r="L4" s="1127"/>
      <c r="M4" s="258" t="s">
        <v>586</v>
      </c>
    </row>
    <row r="5" spans="1:24" ht="62.1" hidden="1" customHeight="1">
      <c r="A5" s="170" t="s">
        <v>53</v>
      </c>
      <c r="B5" s="264">
        <f t="shared" ref="B5:B14" si="0">C5+D5+E5+F5+I5+J5+K5+L5</f>
        <v>239491978</v>
      </c>
      <c r="C5" s="265">
        <v>49162113</v>
      </c>
      <c r="D5" s="265">
        <v>46634989</v>
      </c>
      <c r="E5" s="265">
        <v>15948932</v>
      </c>
      <c r="F5" s="265">
        <f t="shared" ref="F5:F20" si="1">SUM(G5:H5)</f>
        <v>48033326</v>
      </c>
      <c r="G5" s="265">
        <v>43576232</v>
      </c>
      <c r="H5" s="265">
        <v>4457094</v>
      </c>
      <c r="I5" s="265">
        <v>79122980</v>
      </c>
      <c r="J5" s="265">
        <v>312142</v>
      </c>
      <c r="K5" s="265">
        <v>112253</v>
      </c>
      <c r="L5" s="265">
        <v>165243</v>
      </c>
      <c r="M5" s="283"/>
      <c r="N5" s="284"/>
      <c r="O5" s="284"/>
      <c r="P5" s="284"/>
      <c r="Q5" s="284"/>
      <c r="R5" s="284"/>
      <c r="S5" s="284"/>
      <c r="T5" s="285"/>
      <c r="U5" s="285"/>
      <c r="V5" s="285"/>
      <c r="W5" s="285"/>
      <c r="X5" s="285"/>
    </row>
    <row r="6" spans="1:24" ht="62.1" hidden="1" customHeight="1">
      <c r="A6" s="170" t="s">
        <v>60</v>
      </c>
      <c r="B6" s="264">
        <f t="shared" si="0"/>
        <v>261107991</v>
      </c>
      <c r="C6" s="265">
        <v>82266663</v>
      </c>
      <c r="D6" s="265">
        <v>47115324</v>
      </c>
      <c r="E6" s="265">
        <v>26616610</v>
      </c>
      <c r="F6" s="265">
        <f t="shared" si="1"/>
        <v>51383272</v>
      </c>
      <c r="G6" s="265">
        <f>44990309+2535705</f>
        <v>47526014</v>
      </c>
      <c r="H6" s="265">
        <v>3857258</v>
      </c>
      <c r="I6" s="265">
        <v>52900258</v>
      </c>
      <c r="J6" s="265">
        <v>619873</v>
      </c>
      <c r="K6" s="265">
        <v>42579</v>
      </c>
      <c r="L6" s="265">
        <v>163412</v>
      </c>
      <c r="M6" s="283"/>
      <c r="N6" s="284"/>
      <c r="O6" s="284"/>
      <c r="P6" s="284"/>
      <c r="Q6" s="284"/>
      <c r="R6" s="284"/>
      <c r="S6" s="284"/>
      <c r="T6" s="285"/>
      <c r="U6" s="285"/>
      <c r="V6" s="285"/>
      <c r="W6" s="285"/>
      <c r="X6" s="285"/>
    </row>
    <row r="7" spans="1:24" ht="62.1" hidden="1" customHeight="1">
      <c r="A7" s="170" t="s">
        <v>54</v>
      </c>
      <c r="B7" s="264">
        <f t="shared" si="0"/>
        <v>301757042</v>
      </c>
      <c r="C7" s="265">
        <v>69383366</v>
      </c>
      <c r="D7" s="265">
        <v>65353001</v>
      </c>
      <c r="E7" s="265">
        <v>36357986</v>
      </c>
      <c r="F7" s="265">
        <f t="shared" si="1"/>
        <v>54831054</v>
      </c>
      <c r="G7" s="265">
        <v>49406210</v>
      </c>
      <c r="H7" s="265">
        <v>5424844</v>
      </c>
      <c r="I7" s="265">
        <v>73100038</v>
      </c>
      <c r="J7" s="265">
        <v>1182560</v>
      </c>
      <c r="K7" s="265">
        <v>1387815</v>
      </c>
      <c r="L7" s="265">
        <v>161222</v>
      </c>
      <c r="M7" s="283"/>
      <c r="N7" s="284"/>
      <c r="O7" s="284"/>
      <c r="P7" s="284"/>
      <c r="Q7" s="284"/>
      <c r="R7" s="284"/>
      <c r="S7" s="284"/>
      <c r="T7" s="285"/>
      <c r="U7" s="285"/>
      <c r="V7" s="285"/>
      <c r="W7" s="285"/>
      <c r="X7" s="285"/>
    </row>
    <row r="8" spans="1:24" ht="62.1" hidden="1" customHeight="1">
      <c r="A8" s="170" t="s">
        <v>8</v>
      </c>
      <c r="B8" s="264">
        <f t="shared" si="0"/>
        <v>364911027</v>
      </c>
      <c r="C8" s="265">
        <v>100692668</v>
      </c>
      <c r="D8" s="265">
        <v>43930399</v>
      </c>
      <c r="E8" s="265">
        <v>49911344</v>
      </c>
      <c r="F8" s="265">
        <f t="shared" si="1"/>
        <v>64440425</v>
      </c>
      <c r="G8" s="265">
        <v>55960513</v>
      </c>
      <c r="H8" s="265">
        <v>8479912</v>
      </c>
      <c r="I8" s="265">
        <v>102070695</v>
      </c>
      <c r="J8" s="265">
        <v>1863836</v>
      </c>
      <c r="K8" s="265">
        <v>1841926</v>
      </c>
      <c r="L8" s="265">
        <v>159734</v>
      </c>
      <c r="M8" s="283"/>
      <c r="N8" s="284"/>
      <c r="O8" s="284"/>
      <c r="P8" s="284"/>
      <c r="Q8" s="284"/>
      <c r="R8" s="284"/>
      <c r="S8" s="284"/>
      <c r="T8" s="285"/>
      <c r="U8" s="285"/>
      <c r="V8" s="285"/>
      <c r="W8" s="285"/>
      <c r="X8" s="285"/>
    </row>
    <row r="9" spans="1:24" ht="62.1" hidden="1" customHeight="1">
      <c r="A9" s="170" t="s">
        <v>1</v>
      </c>
      <c r="B9" s="265">
        <f t="shared" si="0"/>
        <v>350904957</v>
      </c>
      <c r="C9" s="286">
        <v>67415184</v>
      </c>
      <c r="D9" s="265">
        <v>57552828</v>
      </c>
      <c r="E9" s="265">
        <v>48707942</v>
      </c>
      <c r="F9" s="265">
        <f t="shared" si="1"/>
        <v>57520813</v>
      </c>
      <c r="G9" s="265">
        <v>46174512</v>
      </c>
      <c r="H9" s="265">
        <v>11346301</v>
      </c>
      <c r="I9" s="265">
        <v>115434381</v>
      </c>
      <c r="J9" s="265">
        <v>1747334</v>
      </c>
      <c r="K9" s="265">
        <v>2430403</v>
      </c>
      <c r="L9" s="265">
        <v>96072</v>
      </c>
      <c r="M9" s="283"/>
      <c r="N9" s="284"/>
      <c r="O9" s="284"/>
      <c r="P9" s="284"/>
      <c r="Q9" s="284"/>
      <c r="R9" s="284"/>
      <c r="S9" s="284"/>
      <c r="T9" s="285"/>
      <c r="U9" s="285"/>
      <c r="V9" s="285"/>
      <c r="W9" s="285"/>
      <c r="X9" s="285"/>
    </row>
    <row r="10" spans="1:24" ht="62.1" hidden="1" customHeight="1">
      <c r="A10" s="170" t="s">
        <v>2</v>
      </c>
      <c r="B10" s="265">
        <f t="shared" si="0"/>
        <v>455897576</v>
      </c>
      <c r="C10" s="286">
        <v>77877761</v>
      </c>
      <c r="D10" s="265">
        <v>62714529</v>
      </c>
      <c r="E10" s="265">
        <v>45006109</v>
      </c>
      <c r="F10" s="265">
        <f t="shared" si="1"/>
        <v>87695868</v>
      </c>
      <c r="G10" s="265">
        <v>71057012</v>
      </c>
      <c r="H10" s="265">
        <v>16638856</v>
      </c>
      <c r="I10" s="265">
        <v>176080540</v>
      </c>
      <c r="J10" s="265">
        <v>3653648</v>
      </c>
      <c r="K10" s="265">
        <v>2774270</v>
      </c>
      <c r="L10" s="265">
        <v>94851</v>
      </c>
      <c r="M10" s="283"/>
      <c r="N10" s="284"/>
      <c r="O10" s="284"/>
      <c r="P10" s="284"/>
      <c r="Q10" s="284"/>
      <c r="R10" s="284"/>
      <c r="S10" s="284"/>
      <c r="T10" s="285"/>
      <c r="U10" s="285"/>
      <c r="V10" s="285"/>
      <c r="W10" s="285"/>
      <c r="X10" s="285"/>
    </row>
    <row r="11" spans="1:24" ht="62.1" customHeight="1">
      <c r="A11" s="170" t="s">
        <v>3</v>
      </c>
      <c r="B11" s="265">
        <f t="shared" si="0"/>
        <v>496550194</v>
      </c>
      <c r="C11" s="286">
        <v>80402347</v>
      </c>
      <c r="D11" s="265">
        <v>56185461</v>
      </c>
      <c r="E11" s="265">
        <v>48067849</v>
      </c>
      <c r="F11" s="265">
        <f t="shared" si="1"/>
        <v>98396359</v>
      </c>
      <c r="G11" s="265">
        <v>81084334</v>
      </c>
      <c r="H11" s="265">
        <v>17312025</v>
      </c>
      <c r="I11" s="265">
        <v>204666085</v>
      </c>
      <c r="J11" s="265">
        <v>5519925</v>
      </c>
      <c r="K11" s="265">
        <v>3218008</v>
      </c>
      <c r="L11" s="265">
        <v>94160</v>
      </c>
      <c r="M11" s="283"/>
      <c r="N11" s="287">
        <f>SUM(G11:L11)+SUM(C11:E11)-B11</f>
        <v>0</v>
      </c>
      <c r="O11" s="287"/>
      <c r="P11" s="287"/>
      <c r="Q11" s="287"/>
      <c r="R11" s="287"/>
      <c r="S11" s="287"/>
      <c r="T11" s="287"/>
      <c r="U11" s="287"/>
      <c r="V11" s="287"/>
      <c r="W11" s="287"/>
      <c r="X11" s="285"/>
    </row>
    <row r="12" spans="1:24" ht="62.1" customHeight="1">
      <c r="A12" s="170" t="s">
        <v>4</v>
      </c>
      <c r="B12" s="286">
        <f t="shared" si="0"/>
        <v>482144650</v>
      </c>
      <c r="C12" s="286">
        <v>68932419</v>
      </c>
      <c r="D12" s="265">
        <v>65132625</v>
      </c>
      <c r="E12" s="265">
        <v>58384598</v>
      </c>
      <c r="F12" s="265">
        <f t="shared" si="1"/>
        <v>89992675</v>
      </c>
      <c r="G12" s="265">
        <v>73841680</v>
      </c>
      <c r="H12" s="265">
        <v>16150995</v>
      </c>
      <c r="I12" s="265">
        <v>190415518</v>
      </c>
      <c r="J12" s="286">
        <v>5387289</v>
      </c>
      <c r="K12" s="265">
        <v>3807113</v>
      </c>
      <c r="L12" s="265">
        <v>92413</v>
      </c>
      <c r="M12" s="283"/>
      <c r="N12" s="287">
        <f t="shared" ref="N12:N20" si="2">SUM(G12:L12)+SUM(C12:E12)-B12</f>
        <v>0</v>
      </c>
      <c r="O12" s="287"/>
      <c r="P12" s="287"/>
      <c r="Q12" s="287"/>
      <c r="R12" s="287"/>
      <c r="S12" s="287"/>
      <c r="T12" s="287"/>
      <c r="U12" s="287"/>
      <c r="V12" s="287"/>
      <c r="W12" s="287"/>
      <c r="X12" s="285"/>
    </row>
    <row r="13" spans="1:24" ht="62.1" customHeight="1">
      <c r="A13" s="170" t="s">
        <v>5</v>
      </c>
      <c r="B13" s="286">
        <f t="shared" si="0"/>
        <v>519273738</v>
      </c>
      <c r="C13" s="286">
        <v>87602716</v>
      </c>
      <c r="D13" s="265">
        <v>71333478</v>
      </c>
      <c r="E13" s="265">
        <v>69636432</v>
      </c>
      <c r="F13" s="265">
        <f t="shared" si="1"/>
        <v>103152534</v>
      </c>
      <c r="G13" s="265">
        <v>85679389</v>
      </c>
      <c r="H13" s="265">
        <v>17473145</v>
      </c>
      <c r="I13" s="265">
        <v>177773158</v>
      </c>
      <c r="J13" s="286">
        <v>5408070</v>
      </c>
      <c r="K13" s="265">
        <v>4367350</v>
      </c>
      <c r="L13" s="265">
        <v>0</v>
      </c>
      <c r="M13" s="283"/>
      <c r="N13" s="287">
        <f t="shared" si="2"/>
        <v>0</v>
      </c>
      <c r="O13" s="287"/>
      <c r="P13" s="287"/>
      <c r="Q13" s="287"/>
      <c r="R13" s="287"/>
      <c r="S13" s="287"/>
      <c r="T13" s="287"/>
      <c r="U13" s="287"/>
      <c r="V13" s="287"/>
      <c r="W13" s="287"/>
      <c r="X13" s="285"/>
    </row>
    <row r="14" spans="1:24" ht="62.1" customHeight="1">
      <c r="A14" s="170" t="s">
        <v>6</v>
      </c>
      <c r="B14" s="286">
        <f t="shared" si="0"/>
        <v>563137547</v>
      </c>
      <c r="C14" s="286">
        <v>101371314</v>
      </c>
      <c r="D14" s="286">
        <v>83095814</v>
      </c>
      <c r="E14" s="286">
        <v>72137961</v>
      </c>
      <c r="F14" s="286">
        <f t="shared" si="1"/>
        <v>108667047</v>
      </c>
      <c r="G14" s="286">
        <v>91376333</v>
      </c>
      <c r="H14" s="286">
        <v>17290714</v>
      </c>
      <c r="I14" s="286">
        <v>188002162</v>
      </c>
      <c r="J14" s="286">
        <v>4819851</v>
      </c>
      <c r="K14" s="286">
        <v>5043398</v>
      </c>
      <c r="L14" s="286">
        <v>0</v>
      </c>
      <c r="M14" s="283"/>
      <c r="N14" s="287">
        <f t="shared" si="2"/>
        <v>0</v>
      </c>
      <c r="O14" s="287"/>
      <c r="P14" s="287"/>
      <c r="Q14" s="287"/>
      <c r="R14" s="287"/>
      <c r="S14" s="287"/>
      <c r="T14" s="287"/>
      <c r="U14" s="287"/>
      <c r="V14" s="287"/>
      <c r="W14" s="287"/>
      <c r="X14" s="285"/>
    </row>
    <row r="15" spans="1:24" ht="62.1" customHeight="1">
      <c r="A15" s="170" t="s">
        <v>246</v>
      </c>
      <c r="B15" s="286">
        <f>C15+D15+E15+F15+I15+J15+K15+L15</f>
        <v>595526075</v>
      </c>
      <c r="C15" s="286">
        <v>121443362</v>
      </c>
      <c r="D15" s="286">
        <v>84924398</v>
      </c>
      <c r="E15" s="286">
        <v>81262711</v>
      </c>
      <c r="F15" s="286">
        <f>SUM(G15:H15)</f>
        <v>118012154</v>
      </c>
      <c r="G15" s="286">
        <v>99684732</v>
      </c>
      <c r="H15" s="286">
        <v>18327422</v>
      </c>
      <c r="I15" s="286">
        <v>180127651</v>
      </c>
      <c r="J15" s="286">
        <v>4140309</v>
      </c>
      <c r="K15" s="286">
        <v>5615490</v>
      </c>
      <c r="L15" s="286">
        <v>0</v>
      </c>
      <c r="M15" s="283"/>
      <c r="N15" s="287">
        <f t="shared" si="2"/>
        <v>0</v>
      </c>
      <c r="O15" s="287"/>
      <c r="P15" s="287"/>
      <c r="Q15" s="287"/>
      <c r="R15" s="287"/>
      <c r="S15" s="287"/>
      <c r="T15" s="287"/>
      <c r="U15" s="287"/>
      <c r="V15" s="287"/>
      <c r="W15" s="287"/>
      <c r="X15" s="285"/>
    </row>
    <row r="16" spans="1:24" ht="62.1" customHeight="1">
      <c r="A16" s="170" t="s">
        <v>55</v>
      </c>
      <c r="B16" s="286">
        <f>C16+D16+E16+F16+I16+J16+K16+L16</f>
        <v>574852300</v>
      </c>
      <c r="C16" s="286">
        <v>88198757</v>
      </c>
      <c r="D16" s="286">
        <v>62461603</v>
      </c>
      <c r="E16" s="286">
        <v>89586648</v>
      </c>
      <c r="F16" s="286">
        <f>SUM(G16:H16)</f>
        <v>106348414</v>
      </c>
      <c r="G16" s="286">
        <v>89537440</v>
      </c>
      <c r="H16" s="286">
        <v>16810974</v>
      </c>
      <c r="I16" s="286">
        <v>218836957</v>
      </c>
      <c r="J16" s="286">
        <v>3209549</v>
      </c>
      <c r="K16" s="286">
        <v>6210371</v>
      </c>
      <c r="L16" s="286">
        <v>1</v>
      </c>
      <c r="M16" s="283">
        <f>B16-B15</f>
        <v>-20673775</v>
      </c>
      <c r="N16" s="287">
        <f t="shared" si="2"/>
        <v>0</v>
      </c>
      <c r="O16" s="287"/>
      <c r="P16" s="287"/>
      <c r="Q16" s="287"/>
      <c r="R16" s="287"/>
      <c r="S16" s="287"/>
      <c r="T16" s="287"/>
      <c r="U16" s="287"/>
      <c r="V16" s="287"/>
      <c r="W16" s="287"/>
      <c r="X16" s="285"/>
    </row>
    <row r="17" spans="1:24" ht="62.1" customHeight="1">
      <c r="A17" s="170" t="s">
        <v>99</v>
      </c>
      <c r="B17" s="286">
        <f>C17+D17+E17+F17+I17+J17+K17+L17+1</f>
        <v>579327164</v>
      </c>
      <c r="C17" s="286">
        <v>85890539</v>
      </c>
      <c r="D17" s="286">
        <v>89865153</v>
      </c>
      <c r="E17" s="286">
        <v>98219924</v>
      </c>
      <c r="F17" s="286">
        <f t="shared" ref="F17" si="3">SUM(G17:H17)</f>
        <v>92511267</v>
      </c>
      <c r="G17" s="286">
        <v>78718307</v>
      </c>
      <c r="H17" s="286">
        <v>13792960</v>
      </c>
      <c r="I17" s="286">
        <v>203444335</v>
      </c>
      <c r="J17" s="286">
        <v>2453986</v>
      </c>
      <c r="K17" s="286">
        <v>6941959</v>
      </c>
      <c r="L17" s="286">
        <v>0</v>
      </c>
      <c r="M17" s="283"/>
      <c r="N17" s="287">
        <f t="shared" si="2"/>
        <v>-1</v>
      </c>
      <c r="O17" s="287"/>
      <c r="P17" s="287"/>
      <c r="Q17" s="287"/>
      <c r="R17" s="287"/>
      <c r="S17" s="287"/>
      <c r="T17" s="287"/>
      <c r="U17" s="287"/>
      <c r="V17" s="287"/>
      <c r="W17" s="287"/>
      <c r="X17" s="285"/>
    </row>
    <row r="18" spans="1:24" ht="62.1" customHeight="1">
      <c r="A18" s="170" t="s">
        <v>98</v>
      </c>
      <c r="B18" s="286">
        <f>C18+D18+E18+F18+I18+J18+K18+L18+1</f>
        <v>594218317</v>
      </c>
      <c r="C18" s="286">
        <v>98213557</v>
      </c>
      <c r="D18" s="286">
        <v>80567181</v>
      </c>
      <c r="E18" s="286">
        <v>94750600</v>
      </c>
      <c r="F18" s="286">
        <f t="shared" ref="F18" si="4">SUM(G18:H18)</f>
        <v>90697100</v>
      </c>
      <c r="G18" s="286">
        <v>79344865</v>
      </c>
      <c r="H18" s="286">
        <v>11352235</v>
      </c>
      <c r="I18" s="286">
        <v>221823849</v>
      </c>
      <c r="J18" s="286">
        <v>1207616</v>
      </c>
      <c r="K18" s="286">
        <v>6958413</v>
      </c>
      <c r="L18" s="286">
        <v>0</v>
      </c>
      <c r="M18" s="283">
        <f>B18-B17</f>
        <v>14891153</v>
      </c>
      <c r="N18" s="287">
        <f t="shared" si="2"/>
        <v>-1</v>
      </c>
      <c r="O18" s="287"/>
      <c r="P18" s="287"/>
      <c r="Q18" s="287"/>
      <c r="R18" s="287"/>
      <c r="S18" s="287"/>
      <c r="T18" s="287"/>
      <c r="U18" s="287"/>
      <c r="V18" s="287"/>
      <c r="W18" s="287"/>
      <c r="X18" s="285"/>
    </row>
    <row r="19" spans="1:24" ht="62.1" customHeight="1">
      <c r="A19" s="170" t="s">
        <v>189</v>
      </c>
      <c r="B19" s="286">
        <f>C19+D19+E19+F19+I19+J19+K19+L19</f>
        <v>567415737</v>
      </c>
      <c r="C19" s="265">
        <v>76139204</v>
      </c>
      <c r="D19" s="265">
        <v>68637391</v>
      </c>
      <c r="E19" s="265">
        <v>109282298</v>
      </c>
      <c r="F19" s="286">
        <f t="shared" ref="F19" si="5">SUM(G19:H19)</f>
        <v>78714259</v>
      </c>
      <c r="G19" s="286">
        <v>70192254</v>
      </c>
      <c r="H19" s="286">
        <v>8522005</v>
      </c>
      <c r="I19" s="286">
        <v>226090623</v>
      </c>
      <c r="J19" s="286">
        <v>1362637</v>
      </c>
      <c r="K19" s="286">
        <v>7189325</v>
      </c>
      <c r="L19" s="286">
        <v>0</v>
      </c>
      <c r="M19" s="283">
        <f>B19-B17</f>
        <v>-11911427</v>
      </c>
      <c r="N19" s="287">
        <f t="shared" si="2"/>
        <v>0</v>
      </c>
      <c r="O19" s="287"/>
      <c r="P19" s="287"/>
      <c r="Q19" s="287"/>
      <c r="R19" s="287"/>
      <c r="S19" s="287"/>
      <c r="T19" s="287"/>
      <c r="U19" s="287"/>
      <c r="V19" s="287"/>
      <c r="W19" s="287"/>
      <c r="X19" s="285"/>
    </row>
    <row r="20" spans="1:24" ht="62.1" customHeight="1">
      <c r="A20" s="170" t="s">
        <v>367</v>
      </c>
      <c r="B20" s="286">
        <f>C20+D20+E20+F20+I20+J20+K20+L20+1</f>
        <v>613049569</v>
      </c>
      <c r="C20" s="265">
        <v>75673242</v>
      </c>
      <c r="D20" s="265">
        <v>51305920</v>
      </c>
      <c r="E20" s="265">
        <v>116895928</v>
      </c>
      <c r="F20" s="286">
        <f t="shared" si="1"/>
        <v>97062224</v>
      </c>
      <c r="G20" s="265">
        <v>85237433</v>
      </c>
      <c r="H20" s="265">
        <v>11824791</v>
      </c>
      <c r="I20" s="265">
        <v>262937526</v>
      </c>
      <c r="J20" s="265">
        <v>1563316</v>
      </c>
      <c r="K20" s="265">
        <v>7611412</v>
      </c>
      <c r="L20" s="286">
        <v>0</v>
      </c>
      <c r="M20" s="283">
        <f>B20-B18</f>
        <v>18831252</v>
      </c>
      <c r="N20" s="287">
        <f t="shared" si="2"/>
        <v>-1</v>
      </c>
      <c r="O20" s="284"/>
      <c r="P20" s="284"/>
      <c r="Q20" s="284"/>
      <c r="R20" s="284"/>
      <c r="S20" s="284"/>
      <c r="T20" s="285"/>
      <c r="U20" s="285"/>
      <c r="V20" s="285"/>
      <c r="W20" s="285"/>
      <c r="X20" s="285"/>
    </row>
    <row r="21" spans="1:24" s="272" customFormat="1" ht="18" customHeight="1">
      <c r="A21" s="288" t="s">
        <v>587</v>
      </c>
      <c r="B21" s="288"/>
      <c r="C21" s="288"/>
      <c r="D21" s="288"/>
      <c r="E21" s="288"/>
      <c r="F21" s="288"/>
      <c r="G21" s="288"/>
      <c r="H21" s="288"/>
      <c r="I21" s="288"/>
      <c r="J21" s="288"/>
      <c r="K21" s="288"/>
      <c r="L21" s="288"/>
      <c r="M21" s="82"/>
    </row>
    <row r="22" spans="1:24" s="272" customFormat="1" ht="18" customHeight="1">
      <c r="A22" s="82" t="s">
        <v>670</v>
      </c>
      <c r="B22" s="82"/>
      <c r="C22" s="82"/>
      <c r="D22" s="82"/>
      <c r="E22" s="82"/>
      <c r="F22" s="82"/>
      <c r="G22" s="274"/>
      <c r="H22" s="82"/>
      <c r="I22" s="82"/>
      <c r="J22" s="82"/>
      <c r="K22" s="82"/>
      <c r="L22" s="82"/>
      <c r="M22" s="82"/>
    </row>
    <row r="23" spans="1:24" s="291" customFormat="1" ht="21.2" customHeight="1">
      <c r="A23" s="61" t="s">
        <v>423</v>
      </c>
      <c r="B23" s="289">
        <f>SUM(B11:L19)-SUM('[2]54資產明細-OK '!$B$11:$L$19)</f>
        <v>0</v>
      </c>
      <c r="C23" s="289"/>
      <c r="D23" s="289"/>
      <c r="E23" s="289"/>
      <c r="F23" s="289"/>
      <c r="G23" s="289"/>
      <c r="H23" s="289"/>
      <c r="I23" s="289"/>
      <c r="J23" s="289"/>
      <c r="K23" s="289"/>
      <c r="L23" s="289"/>
      <c r="M23" s="290"/>
      <c r="N23" s="289"/>
      <c r="O23" s="289"/>
      <c r="P23" s="289"/>
      <c r="Q23" s="289"/>
      <c r="R23" s="289"/>
      <c r="S23" s="289"/>
    </row>
    <row r="24" spans="1:24" ht="30.2" customHeight="1">
      <c r="A24" s="281"/>
      <c r="B24" s="281"/>
      <c r="C24" s="281"/>
      <c r="D24" s="281"/>
      <c r="E24" s="281"/>
      <c r="F24" s="281"/>
      <c r="G24" s="281"/>
      <c r="H24" s="281"/>
      <c r="I24" s="281"/>
      <c r="J24" s="281"/>
      <c r="K24" s="281"/>
      <c r="L24" s="281"/>
    </row>
    <row r="25" spans="1:24" ht="30.2" customHeight="1">
      <c r="A25" s="281"/>
      <c r="B25" s="281"/>
      <c r="C25" s="281"/>
      <c r="D25" s="281"/>
      <c r="E25" s="281"/>
      <c r="F25" s="281"/>
      <c r="G25" s="281"/>
      <c r="H25" s="281"/>
      <c r="I25" s="281"/>
      <c r="J25" s="281"/>
      <c r="K25" s="281"/>
      <c r="L25" s="281"/>
    </row>
    <row r="26" spans="1:24" ht="30.2" customHeight="1">
      <c r="A26" s="281"/>
      <c r="B26" s="281"/>
      <c r="C26" s="281"/>
      <c r="D26" s="281"/>
      <c r="E26" s="281"/>
      <c r="F26" s="281"/>
      <c r="G26" s="281"/>
      <c r="H26" s="281"/>
      <c r="I26" s="281"/>
      <c r="J26" s="281"/>
      <c r="K26" s="281"/>
      <c r="L26" s="281"/>
    </row>
    <row r="28" spans="1:24" ht="30.2" customHeight="1">
      <c r="B28" s="292"/>
      <c r="C28" s="292"/>
    </row>
  </sheetData>
  <mergeCells count="15">
    <mergeCell ref="A3:A4"/>
    <mergeCell ref="B3:B4"/>
    <mergeCell ref="C3:C4"/>
    <mergeCell ref="D3:D4"/>
    <mergeCell ref="E3:E4"/>
    <mergeCell ref="A1:F1"/>
    <mergeCell ref="G1:L1"/>
    <mergeCell ref="A2:F2"/>
    <mergeCell ref="G2:J2"/>
    <mergeCell ref="K2:L2"/>
    <mergeCell ref="F3:H3"/>
    <mergeCell ref="I3:I4"/>
    <mergeCell ref="J3:J4"/>
    <mergeCell ref="K3:K4"/>
    <mergeCell ref="L3:L4"/>
  </mergeCells>
  <phoneticPr fontId="3" type="noConversion"/>
  <pageMargins left="0.59055118110236227" right="0.19685039370078741" top="0.59055118110236227" bottom="0.36" header="0" footer="0.23622047244094491"/>
  <pageSetup paperSize="9" fitToWidth="0" pageOrder="overThenDown" orientation="portrait" r:id="rId1"/>
  <headerFooter alignWithMargins="0"/>
  <colBreaks count="1" manualBreakCount="1">
    <brk id="6" max="17" man="1"/>
  </colBreaks>
  <legacyDrawing r:id="rId2"/>
</worksheet>
</file>

<file path=xl/worksheets/sheet57.xml><?xml version="1.0" encoding="utf-8"?>
<worksheet xmlns="http://schemas.openxmlformats.org/spreadsheetml/2006/main" xmlns:r="http://schemas.openxmlformats.org/officeDocument/2006/relationships">
  <sheetPr>
    <tabColor indexed="46"/>
    <pageSetUpPr fitToPage="1"/>
  </sheetPr>
  <dimension ref="A1:AD35"/>
  <sheetViews>
    <sheetView view="pageBreakPreview" zoomScale="75" zoomScaleNormal="100" zoomScaleSheetLayoutView="75" workbookViewId="0">
      <pane xSplit="1" ySplit="5" topLeftCell="C1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24" customHeight="1"/>
  <cols>
    <col min="1" max="1" width="10.5" style="257" customWidth="1"/>
    <col min="2" max="2" width="13.375" style="273" bestFit="1" customWidth="1"/>
    <col min="3" max="3" width="12.25" style="273" bestFit="1" customWidth="1"/>
    <col min="4" max="6" width="13.375" style="273" bestFit="1" customWidth="1"/>
    <col min="7" max="7" width="13.375" style="273" customWidth="1"/>
    <col min="8" max="8" width="13.375" style="273" bestFit="1" customWidth="1"/>
    <col min="9" max="9" width="14.875" style="273" customWidth="1"/>
    <col min="10" max="10" width="15.375" style="273" customWidth="1"/>
    <col min="11" max="11" width="12.25" style="273" bestFit="1" customWidth="1"/>
    <col min="12" max="17" width="15.375" style="273" customWidth="1"/>
    <col min="18" max="18" width="12.75" style="257" customWidth="1"/>
    <col min="19" max="19" width="10" style="257" customWidth="1"/>
    <col min="20" max="20" width="9.5" style="257" customWidth="1"/>
    <col min="21" max="21" width="9" style="257"/>
    <col min="22" max="23" width="7.25" style="257" customWidth="1"/>
    <col min="24" max="24" width="9.25" style="257" customWidth="1"/>
    <col min="25" max="25" width="8.75" style="257" customWidth="1"/>
    <col min="26" max="26" width="8.375" style="257" customWidth="1"/>
    <col min="27" max="16384" width="9" style="257"/>
  </cols>
  <sheetData>
    <row r="1" spans="1:29" s="60" customFormat="1" ht="33" customHeight="1">
      <c r="A1" s="1133" t="s">
        <v>588</v>
      </c>
      <c r="B1" s="1133"/>
      <c r="C1" s="1133"/>
      <c r="D1" s="1133"/>
      <c r="E1" s="1133"/>
      <c r="F1" s="1133"/>
      <c r="G1" s="1133"/>
      <c r="H1" s="1133"/>
      <c r="I1" s="1133"/>
      <c r="J1" s="1134" t="s">
        <v>589</v>
      </c>
      <c r="K1" s="1134"/>
      <c r="L1" s="1134"/>
      <c r="M1" s="1134"/>
      <c r="N1" s="1134"/>
      <c r="O1" s="1134"/>
      <c r="P1" s="1134"/>
      <c r="Q1" s="1134"/>
    </row>
    <row r="2" spans="1:29" ht="33" customHeight="1">
      <c r="A2" s="1135" t="s">
        <v>461</v>
      </c>
      <c r="B2" s="1136"/>
      <c r="C2" s="1136"/>
      <c r="D2" s="1136"/>
      <c r="E2" s="1136"/>
      <c r="F2" s="1136"/>
      <c r="G2" s="1136"/>
      <c r="H2" s="1136"/>
      <c r="I2" s="1136"/>
      <c r="J2" s="1137" t="s">
        <v>395</v>
      </c>
      <c r="K2" s="1137"/>
      <c r="L2" s="1137"/>
      <c r="M2" s="1137"/>
      <c r="N2" s="1137"/>
      <c r="O2" s="1137"/>
      <c r="P2" s="1120" t="s">
        <v>457</v>
      </c>
      <c r="Q2" s="1120"/>
      <c r="S2" s="293"/>
      <c r="T2" s="293"/>
      <c r="U2" s="293"/>
      <c r="V2" s="293"/>
      <c r="W2" s="293"/>
      <c r="Y2" s="293"/>
      <c r="Z2" s="293"/>
      <c r="AA2" s="293"/>
      <c r="AB2" s="293"/>
      <c r="AC2" s="293"/>
    </row>
    <row r="3" spans="1:29" ht="29.1" customHeight="1">
      <c r="A3" s="1138" t="s">
        <v>48</v>
      </c>
      <c r="B3" s="1127" t="s">
        <v>590</v>
      </c>
      <c r="C3" s="1125"/>
      <c r="D3" s="1125"/>
      <c r="E3" s="1125"/>
      <c r="F3" s="1125"/>
      <c r="G3" s="1125"/>
      <c r="H3" s="1125"/>
      <c r="I3" s="1125"/>
      <c r="J3" s="1125" t="s">
        <v>591</v>
      </c>
      <c r="K3" s="1125"/>
      <c r="L3" s="1125"/>
      <c r="M3" s="1125"/>
      <c r="N3" s="1125"/>
      <c r="O3" s="1125"/>
      <c r="P3" s="1125"/>
      <c r="Q3" s="1125"/>
    </row>
    <row r="4" spans="1:29" ht="28.5" customHeight="1">
      <c r="A4" s="1139"/>
      <c r="B4" s="294" t="s">
        <v>592</v>
      </c>
      <c r="C4" s="295" t="s">
        <v>593</v>
      </c>
      <c r="D4" s="1114" t="s">
        <v>594</v>
      </c>
      <c r="E4" s="1124"/>
      <c r="F4" s="1124"/>
      <c r="G4" s="1127" t="s">
        <v>595</v>
      </c>
      <c r="H4" s="1125"/>
      <c r="I4" s="1125"/>
      <c r="J4" s="296" t="s">
        <v>592</v>
      </c>
      <c r="K4" s="297" t="s">
        <v>593</v>
      </c>
      <c r="L4" s="1127" t="s">
        <v>594</v>
      </c>
      <c r="M4" s="1125"/>
      <c r="N4" s="1125"/>
      <c r="O4" s="1127" t="s">
        <v>595</v>
      </c>
      <c r="P4" s="1132"/>
      <c r="Q4" s="1132"/>
    </row>
    <row r="5" spans="1:29" ht="33" customHeight="1">
      <c r="A5" s="1129"/>
      <c r="B5" s="298" t="s">
        <v>596</v>
      </c>
      <c r="C5" s="299" t="s">
        <v>597</v>
      </c>
      <c r="D5" s="259" t="s">
        <v>497</v>
      </c>
      <c r="E5" s="259" t="s">
        <v>598</v>
      </c>
      <c r="F5" s="300" t="s">
        <v>599</v>
      </c>
      <c r="G5" s="301" t="s">
        <v>497</v>
      </c>
      <c r="H5" s="302" t="s">
        <v>600</v>
      </c>
      <c r="I5" s="303" t="s">
        <v>601</v>
      </c>
      <c r="J5" s="304" t="s">
        <v>596</v>
      </c>
      <c r="K5" s="304" t="s">
        <v>602</v>
      </c>
      <c r="L5" s="259" t="s">
        <v>497</v>
      </c>
      <c r="M5" s="259" t="s">
        <v>598</v>
      </c>
      <c r="N5" s="300" t="s">
        <v>599</v>
      </c>
      <c r="O5" s="259" t="s">
        <v>497</v>
      </c>
      <c r="P5" s="259" t="s">
        <v>600</v>
      </c>
      <c r="Q5" s="303" t="s">
        <v>601</v>
      </c>
      <c r="R5" s="216" t="s">
        <v>603</v>
      </c>
    </row>
    <row r="6" spans="1:29" ht="64.150000000000006" customHeight="1">
      <c r="A6" s="305" t="s">
        <v>604</v>
      </c>
      <c r="B6" s="306">
        <f t="shared" ref="B6:B16" si="0">+D6-G6</f>
        <v>453849364</v>
      </c>
      <c r="C6" s="307">
        <v>0</v>
      </c>
      <c r="D6" s="307">
        <f t="shared" ref="D6:D16" si="1">SUM(E6:F6)</f>
        <v>847255854</v>
      </c>
      <c r="E6" s="307">
        <f>71222484+31433795+49209357+34128603+37959822+38647555+42375675+47831121+53007400+53392129+54472275+55422063</f>
        <v>569102279</v>
      </c>
      <c r="F6" s="307">
        <f>9234755+11010571+19606728+31965+29187+133624+8341747+9436260+23205845+17934470+51221470+29081477+22067454+9150260+67667762</f>
        <v>278153575</v>
      </c>
      <c r="G6" s="307">
        <f t="shared" ref="G6:G16" si="2">SUM(H6:I6)</f>
        <v>393406490</v>
      </c>
      <c r="H6" s="307">
        <f>3827321+4289413+9475795+9429091+10159348+12378551+17566518+19582317+23420408-1+25548453+28329014+30669240</f>
        <v>194675468</v>
      </c>
      <c r="I6" s="307">
        <f>3834601+16148+36885920+2870581+13804298+6666306+12556109+40863928+271506+592470+77926775+2442380</f>
        <v>198731022</v>
      </c>
      <c r="J6" s="308">
        <f>+B6</f>
        <v>453849364</v>
      </c>
      <c r="K6" s="307">
        <v>0</v>
      </c>
      <c r="L6" s="307">
        <f>M6+N6</f>
        <v>847255854</v>
      </c>
      <c r="M6" s="307">
        <f>+E6</f>
        <v>569102279</v>
      </c>
      <c r="N6" s="307">
        <f>+F6</f>
        <v>278153575</v>
      </c>
      <c r="O6" s="307">
        <f>P6+Q6</f>
        <v>393406490</v>
      </c>
      <c r="P6" s="307">
        <f>+H6</f>
        <v>194675468</v>
      </c>
      <c r="Q6" s="307">
        <f>+I6</f>
        <v>198731022</v>
      </c>
    </row>
    <row r="7" spans="1:29" ht="64.150000000000006" customHeight="1">
      <c r="A7" s="309" t="s">
        <v>605</v>
      </c>
      <c r="B7" s="265">
        <f t="shared" si="0"/>
        <v>35836052</v>
      </c>
      <c r="C7" s="265">
        <v>166947</v>
      </c>
      <c r="D7" s="307">
        <f t="shared" si="1"/>
        <v>83205992</v>
      </c>
      <c r="E7" s="265">
        <v>56805040</v>
      </c>
      <c r="F7" s="265">
        <v>26400952</v>
      </c>
      <c r="G7" s="307">
        <f t="shared" si="2"/>
        <v>47369940</v>
      </c>
      <c r="H7" s="265">
        <v>35544169</v>
      </c>
      <c r="I7" s="265">
        <v>11825771</v>
      </c>
      <c r="J7" s="265">
        <f t="shared" ref="J7:J16" si="3">L7-O7</f>
        <v>489685416</v>
      </c>
      <c r="K7" s="265">
        <v>166947</v>
      </c>
      <c r="L7" s="307">
        <f t="shared" ref="L7:L16" si="4">M7+N7</f>
        <v>930461846</v>
      </c>
      <c r="M7" s="265">
        <f>M6+E7</f>
        <v>625907319</v>
      </c>
      <c r="N7" s="265">
        <f>N6+F7</f>
        <v>304554527</v>
      </c>
      <c r="O7" s="307">
        <f t="shared" ref="O7:O16" si="5">P7+Q7</f>
        <v>440776430</v>
      </c>
      <c r="P7" s="265">
        <f>P6+H7</f>
        <v>230219637</v>
      </c>
      <c r="Q7" s="265">
        <f>Q6+I7</f>
        <v>210556793</v>
      </c>
    </row>
    <row r="8" spans="1:29" ht="64.150000000000006" customHeight="1">
      <c r="A8" s="309" t="s">
        <v>606</v>
      </c>
      <c r="B8" s="310">
        <f t="shared" si="0"/>
        <v>-7922164</v>
      </c>
      <c r="C8" s="265">
        <v>167000</v>
      </c>
      <c r="D8" s="307">
        <f t="shared" si="1"/>
        <v>69664854</v>
      </c>
      <c r="E8" s="265">
        <v>57675440</v>
      </c>
      <c r="F8" s="265">
        <v>11989414</v>
      </c>
      <c r="G8" s="307">
        <f t="shared" si="2"/>
        <v>77587018</v>
      </c>
      <c r="H8" s="265">
        <v>42601731</v>
      </c>
      <c r="I8" s="265">
        <v>34985287</v>
      </c>
      <c r="J8" s="265">
        <f t="shared" si="3"/>
        <v>481763252</v>
      </c>
      <c r="K8" s="265">
        <f t="shared" ref="K8:K16" si="6">K7+C8</f>
        <v>333947</v>
      </c>
      <c r="L8" s="307">
        <f t="shared" si="4"/>
        <v>1000126700</v>
      </c>
      <c r="M8" s="265">
        <f t="shared" ref="M8:N11" si="7">M7+E8</f>
        <v>683582759</v>
      </c>
      <c r="N8" s="265">
        <f t="shared" si="7"/>
        <v>316543941</v>
      </c>
      <c r="O8" s="307">
        <f t="shared" si="5"/>
        <v>518363448</v>
      </c>
      <c r="P8" s="265">
        <f t="shared" ref="P8:Q16" si="8">P7+H8</f>
        <v>272821368</v>
      </c>
      <c r="Q8" s="265">
        <f t="shared" si="8"/>
        <v>245542080</v>
      </c>
    </row>
    <row r="9" spans="1:29" ht="64.150000000000006" customHeight="1">
      <c r="A9" s="309" t="s">
        <v>607</v>
      </c>
      <c r="B9" s="265">
        <f t="shared" si="0"/>
        <v>35555456</v>
      </c>
      <c r="C9" s="265">
        <v>167000</v>
      </c>
      <c r="D9" s="307">
        <f t="shared" si="1"/>
        <v>92537569</v>
      </c>
      <c r="E9" s="265">
        <v>59046402</v>
      </c>
      <c r="F9" s="265">
        <v>33491167</v>
      </c>
      <c r="G9" s="307">
        <f t="shared" si="2"/>
        <v>56982113</v>
      </c>
      <c r="H9" s="265">
        <v>50147619</v>
      </c>
      <c r="I9" s="265">
        <v>6834494</v>
      </c>
      <c r="J9" s="265">
        <f t="shared" si="3"/>
        <v>517318708</v>
      </c>
      <c r="K9" s="265">
        <f t="shared" si="6"/>
        <v>500947</v>
      </c>
      <c r="L9" s="307">
        <f t="shared" si="4"/>
        <v>1092664269</v>
      </c>
      <c r="M9" s="265">
        <f t="shared" si="7"/>
        <v>742629161</v>
      </c>
      <c r="N9" s="265">
        <f t="shared" si="7"/>
        <v>350035108</v>
      </c>
      <c r="O9" s="307">
        <f t="shared" si="5"/>
        <v>575345561</v>
      </c>
      <c r="P9" s="265">
        <f t="shared" si="8"/>
        <v>322968987</v>
      </c>
      <c r="Q9" s="265">
        <f t="shared" si="8"/>
        <v>252376574</v>
      </c>
    </row>
    <row r="10" spans="1:29" ht="64.150000000000006" customHeight="1">
      <c r="A10" s="309" t="s">
        <v>608</v>
      </c>
      <c r="B10" s="265">
        <f t="shared" si="0"/>
        <v>42118138</v>
      </c>
      <c r="C10" s="265">
        <v>740000</v>
      </c>
      <c r="D10" s="307">
        <f t="shared" si="1"/>
        <v>100392671</v>
      </c>
      <c r="E10" s="307">
        <v>59250545</v>
      </c>
      <c r="F10" s="311">
        <v>41142126</v>
      </c>
      <c r="G10" s="307">
        <f t="shared" si="2"/>
        <v>58274533</v>
      </c>
      <c r="H10" s="307">
        <v>57728247</v>
      </c>
      <c r="I10" s="311">
        <v>546286</v>
      </c>
      <c r="J10" s="265">
        <f t="shared" si="3"/>
        <v>559436846</v>
      </c>
      <c r="K10" s="265">
        <f t="shared" si="6"/>
        <v>1240947</v>
      </c>
      <c r="L10" s="307">
        <f t="shared" si="4"/>
        <v>1193056940</v>
      </c>
      <c r="M10" s="265">
        <f t="shared" si="7"/>
        <v>801879706</v>
      </c>
      <c r="N10" s="265">
        <f t="shared" si="7"/>
        <v>391177234</v>
      </c>
      <c r="O10" s="307">
        <f t="shared" si="5"/>
        <v>633620094</v>
      </c>
      <c r="P10" s="265">
        <f t="shared" si="8"/>
        <v>380697234</v>
      </c>
      <c r="Q10" s="265">
        <f t="shared" si="8"/>
        <v>252922860</v>
      </c>
    </row>
    <row r="11" spans="1:29" ht="64.150000000000006" customHeight="1">
      <c r="A11" s="309" t="s">
        <v>609</v>
      </c>
      <c r="B11" s="265">
        <f>+D11-G11</f>
        <v>30219804</v>
      </c>
      <c r="C11" s="265">
        <v>740000</v>
      </c>
      <c r="D11" s="307">
        <f>SUM(E11:F11)</f>
        <v>95618533</v>
      </c>
      <c r="E11" s="307">
        <f>'56預決算-OK '!C16</f>
        <v>59658834</v>
      </c>
      <c r="F11" s="311">
        <f>'56預決算-OK '!I16</f>
        <v>35959699</v>
      </c>
      <c r="G11" s="307">
        <f>SUM(H11:I11)</f>
        <v>65398729</v>
      </c>
      <c r="H11" s="307">
        <f>'56預決算-OK '!E16</f>
        <v>63022530</v>
      </c>
      <c r="I11" s="311">
        <f>'56預決算-OK '!K16</f>
        <v>2376199</v>
      </c>
      <c r="J11" s="265">
        <f t="shared" si="3"/>
        <v>589656650</v>
      </c>
      <c r="K11" s="265">
        <f t="shared" si="6"/>
        <v>1980947</v>
      </c>
      <c r="L11" s="307">
        <f t="shared" si="4"/>
        <v>1288675473</v>
      </c>
      <c r="M11" s="265">
        <f t="shared" si="7"/>
        <v>861538540</v>
      </c>
      <c r="N11" s="265">
        <f t="shared" si="7"/>
        <v>427136933</v>
      </c>
      <c r="O11" s="307">
        <f t="shared" si="5"/>
        <v>699018823</v>
      </c>
      <c r="P11" s="265">
        <f t="shared" si="8"/>
        <v>443719764</v>
      </c>
      <c r="Q11" s="265">
        <f t="shared" si="8"/>
        <v>255299059</v>
      </c>
    </row>
    <row r="12" spans="1:29" ht="64.150000000000006" customHeight="1">
      <c r="A12" s="309" t="s">
        <v>610</v>
      </c>
      <c r="B12" s="310">
        <f>+D12-G12</f>
        <v>-19216400</v>
      </c>
      <c r="C12" s="265">
        <v>740000</v>
      </c>
      <c r="D12" s="308">
        <f>SUM(E12:F12)</f>
        <v>66817315</v>
      </c>
      <c r="E12" s="308">
        <f>'56預決算-OK '!C17</f>
        <v>59729631</v>
      </c>
      <c r="F12" s="311">
        <v>7087684</v>
      </c>
      <c r="G12" s="308">
        <f>SUM(H12:I12)</f>
        <v>86033715</v>
      </c>
      <c r="H12" s="308">
        <f>'56預決算-OK '!E17</f>
        <v>70034840</v>
      </c>
      <c r="I12" s="311">
        <v>15998875</v>
      </c>
      <c r="J12" s="265">
        <f t="shared" si="3"/>
        <v>570440250</v>
      </c>
      <c r="K12" s="265">
        <f t="shared" si="6"/>
        <v>2720947</v>
      </c>
      <c r="L12" s="308">
        <f t="shared" si="4"/>
        <v>1355492788</v>
      </c>
      <c r="M12" s="265">
        <f>M11+E12</f>
        <v>921268171</v>
      </c>
      <c r="N12" s="265">
        <f>N11+F12</f>
        <v>434224617</v>
      </c>
      <c r="O12" s="308">
        <f t="shared" si="5"/>
        <v>785052538</v>
      </c>
      <c r="P12" s="265">
        <f t="shared" si="8"/>
        <v>513754604</v>
      </c>
      <c r="Q12" s="265">
        <f t="shared" si="8"/>
        <v>271297934</v>
      </c>
    </row>
    <row r="13" spans="1:29" ht="64.150000000000006" customHeight="1">
      <c r="A13" s="309" t="s">
        <v>611</v>
      </c>
      <c r="B13" s="310">
        <f t="shared" ref="B13:B15" si="9">+D13-G13</f>
        <v>3416102</v>
      </c>
      <c r="C13" s="265">
        <v>740000</v>
      </c>
      <c r="D13" s="308">
        <f t="shared" ref="D13:D14" si="10">SUM(E13:F13)</f>
        <v>89371895</v>
      </c>
      <c r="E13" s="308">
        <v>59607094</v>
      </c>
      <c r="F13" s="311">
        <v>29764801</v>
      </c>
      <c r="G13" s="308">
        <f t="shared" ref="G13:G15" si="11">SUM(H13:I13)</f>
        <v>85955793</v>
      </c>
      <c r="H13" s="308">
        <v>78583980</v>
      </c>
      <c r="I13" s="311">
        <v>7371813</v>
      </c>
      <c r="J13" s="265">
        <f t="shared" si="3"/>
        <v>573856352</v>
      </c>
      <c r="K13" s="265">
        <f t="shared" si="6"/>
        <v>3460947</v>
      </c>
      <c r="L13" s="308">
        <f t="shared" si="4"/>
        <v>1444864683</v>
      </c>
      <c r="M13" s="265">
        <f t="shared" ref="M13:N16" si="12">M12+E13</f>
        <v>980875265</v>
      </c>
      <c r="N13" s="265">
        <f t="shared" si="12"/>
        <v>463989418</v>
      </c>
      <c r="O13" s="308">
        <f t="shared" si="5"/>
        <v>871008331</v>
      </c>
      <c r="P13" s="265">
        <f t="shared" si="8"/>
        <v>592338584</v>
      </c>
      <c r="Q13" s="265">
        <f t="shared" si="8"/>
        <v>278669747</v>
      </c>
    </row>
    <row r="14" spans="1:29" ht="64.150000000000006" customHeight="1">
      <c r="A14" s="309" t="s">
        <v>612</v>
      </c>
      <c r="B14" s="310">
        <f t="shared" si="9"/>
        <v>10279232</v>
      </c>
      <c r="C14" s="265">
        <v>1420795</v>
      </c>
      <c r="D14" s="307">
        <f t="shared" si="10"/>
        <v>115229380</v>
      </c>
      <c r="E14" s="307">
        <v>59713293</v>
      </c>
      <c r="F14" s="311">
        <v>55516087</v>
      </c>
      <c r="G14" s="307">
        <f t="shared" si="11"/>
        <v>104950148</v>
      </c>
      <c r="H14" s="307">
        <v>86614879</v>
      </c>
      <c r="I14" s="311">
        <v>18335269</v>
      </c>
      <c r="J14" s="265">
        <f t="shared" si="3"/>
        <v>584135584</v>
      </c>
      <c r="K14" s="265">
        <f t="shared" si="6"/>
        <v>4881742</v>
      </c>
      <c r="L14" s="307">
        <f t="shared" si="4"/>
        <v>1560094063</v>
      </c>
      <c r="M14" s="265">
        <f t="shared" si="12"/>
        <v>1040588558</v>
      </c>
      <c r="N14" s="265">
        <f t="shared" si="12"/>
        <v>519505505</v>
      </c>
      <c r="O14" s="307">
        <f t="shared" si="5"/>
        <v>975958479</v>
      </c>
      <c r="P14" s="265">
        <f t="shared" si="8"/>
        <v>678953463</v>
      </c>
      <c r="Q14" s="265">
        <f t="shared" si="8"/>
        <v>297005016</v>
      </c>
      <c r="R14" s="257">
        <f>ROUND(H14/E14*100,2)</f>
        <v>145.05000000000001</v>
      </c>
    </row>
    <row r="15" spans="1:29" ht="64.150000000000006" customHeight="1">
      <c r="A15" s="309" t="s">
        <v>613</v>
      </c>
      <c r="B15" s="310">
        <f t="shared" si="9"/>
        <v>-30308771</v>
      </c>
      <c r="C15" s="265">
        <v>0</v>
      </c>
      <c r="D15" s="307">
        <f t="shared" ref="D15" si="13">SUM(E15:F15)</f>
        <v>76908720</v>
      </c>
      <c r="E15" s="307">
        <f>'[3]39作業收支(累計)-OK'!B15</f>
        <v>65841229</v>
      </c>
      <c r="F15" s="311">
        <v>11067491</v>
      </c>
      <c r="G15" s="307">
        <f t="shared" si="11"/>
        <v>107217491</v>
      </c>
      <c r="H15" s="307">
        <f>'[3]39作業收支(累計)-OK'!G15</f>
        <v>90463497</v>
      </c>
      <c r="I15" s="311">
        <v>16753994</v>
      </c>
      <c r="J15" s="265">
        <f t="shared" si="3"/>
        <v>553826813</v>
      </c>
      <c r="K15" s="265">
        <f t="shared" si="6"/>
        <v>4881742</v>
      </c>
      <c r="L15" s="307">
        <f t="shared" si="4"/>
        <v>1637002783</v>
      </c>
      <c r="M15" s="265">
        <f t="shared" si="12"/>
        <v>1106429787</v>
      </c>
      <c r="N15" s="265">
        <f t="shared" si="12"/>
        <v>530572996</v>
      </c>
      <c r="O15" s="307">
        <f t="shared" si="5"/>
        <v>1083175970</v>
      </c>
      <c r="P15" s="265">
        <f t="shared" si="8"/>
        <v>769416960</v>
      </c>
      <c r="Q15" s="265">
        <f t="shared" si="8"/>
        <v>313759010</v>
      </c>
      <c r="R15" s="257">
        <f>ROUND(H15/E15*100,2)</f>
        <v>137.4</v>
      </c>
    </row>
    <row r="16" spans="1:29" ht="64.150000000000006" customHeight="1">
      <c r="A16" s="312" t="s">
        <v>614</v>
      </c>
      <c r="B16" s="313">
        <f t="shared" si="0"/>
        <v>42005254</v>
      </c>
      <c r="C16" s="270">
        <v>0</v>
      </c>
      <c r="D16" s="314">
        <f t="shared" si="1"/>
        <v>141420983</v>
      </c>
      <c r="E16" s="314">
        <v>73813966</v>
      </c>
      <c r="F16" s="314">
        <v>67607017</v>
      </c>
      <c r="G16" s="314">
        <f t="shared" si="2"/>
        <v>99415729</v>
      </c>
      <c r="H16" s="314">
        <v>90275164</v>
      </c>
      <c r="I16" s="314">
        <v>9140565</v>
      </c>
      <c r="J16" s="270">
        <f t="shared" si="3"/>
        <v>595832067</v>
      </c>
      <c r="K16" s="270">
        <f t="shared" si="6"/>
        <v>4881742</v>
      </c>
      <c r="L16" s="314">
        <f t="shared" si="4"/>
        <v>1778423766</v>
      </c>
      <c r="M16" s="270">
        <f t="shared" si="12"/>
        <v>1180243753</v>
      </c>
      <c r="N16" s="270">
        <f t="shared" si="12"/>
        <v>598180013</v>
      </c>
      <c r="O16" s="314">
        <f t="shared" si="5"/>
        <v>1182591699</v>
      </c>
      <c r="P16" s="270">
        <f t="shared" si="8"/>
        <v>859692124</v>
      </c>
      <c r="Q16" s="270">
        <f t="shared" si="8"/>
        <v>322899575</v>
      </c>
      <c r="R16" s="315">
        <f>ROUND(H16/E16*100,2)</f>
        <v>122.3</v>
      </c>
    </row>
    <row r="17" spans="1:30" s="317" customFormat="1" ht="20.25" customHeight="1">
      <c r="A17" s="316" t="s">
        <v>615</v>
      </c>
      <c r="B17" s="316"/>
      <c r="C17" s="316"/>
      <c r="D17" s="316"/>
      <c r="E17" s="316"/>
      <c r="F17" s="316"/>
      <c r="G17" s="316"/>
      <c r="H17" s="316"/>
      <c r="I17" s="316"/>
      <c r="J17" s="316"/>
      <c r="K17" s="316"/>
      <c r="L17" s="316"/>
      <c r="M17" s="316"/>
      <c r="N17" s="316"/>
    </row>
    <row r="18" spans="1:30" s="321" customFormat="1" ht="20.25" customHeight="1">
      <c r="A18" s="318" t="s">
        <v>616</v>
      </c>
      <c r="B18" s="319"/>
      <c r="C18" s="319"/>
      <c r="D18" s="319"/>
      <c r="E18" s="319"/>
      <c r="F18" s="319"/>
      <c r="G18" s="319"/>
      <c r="H18" s="319"/>
      <c r="I18" s="319"/>
      <c r="J18" s="320"/>
      <c r="K18" s="319"/>
      <c r="L18" s="319"/>
      <c r="M18" s="319"/>
      <c r="N18" s="318"/>
      <c r="O18" s="319"/>
      <c r="P18" s="319"/>
      <c r="Q18" s="319"/>
      <c r="R18" s="319"/>
      <c r="S18" s="319"/>
    </row>
    <row r="19" spans="1:30" s="322" customFormat="1" ht="20.25" customHeight="1">
      <c r="A19" s="318" t="s">
        <v>617</v>
      </c>
    </row>
    <row r="20" spans="1:30" s="322" customFormat="1" ht="24" customHeight="1">
      <c r="A20" s="318" t="s">
        <v>671</v>
      </c>
      <c r="B20" s="323"/>
      <c r="C20" s="323"/>
    </row>
    <row r="21" spans="1:30" ht="24" customHeight="1">
      <c r="A21" s="318" t="s">
        <v>618</v>
      </c>
      <c r="B21" s="324"/>
      <c r="C21" s="324"/>
      <c r="S21" s="293"/>
      <c r="T21" s="293"/>
      <c r="U21" s="293"/>
      <c r="X21" s="293"/>
      <c r="Y21" s="293"/>
      <c r="Z21" s="293"/>
      <c r="AB21" s="293"/>
      <c r="AC21" s="293"/>
      <c r="AD21" s="293"/>
    </row>
    <row r="22" spans="1:30" ht="15.75">
      <c r="A22" s="293"/>
      <c r="B22" s="325"/>
      <c r="D22" s="326"/>
      <c r="E22" s="326"/>
      <c r="F22" s="326"/>
      <c r="G22" s="326"/>
      <c r="H22" s="326"/>
      <c r="I22" s="326"/>
      <c r="J22" s="326"/>
      <c r="K22" s="326"/>
      <c r="L22" s="326"/>
      <c r="M22" s="326"/>
      <c r="N22" s="326"/>
      <c r="O22" s="326"/>
      <c r="P22" s="326"/>
      <c r="Q22" s="326"/>
      <c r="R22" s="293"/>
      <c r="S22" s="293"/>
      <c r="T22" s="293"/>
      <c r="U22" s="293"/>
      <c r="V22" s="293"/>
      <c r="W22" s="293"/>
      <c r="X22" s="293"/>
      <c r="Y22" s="293"/>
      <c r="Z22" s="293"/>
      <c r="AA22" s="293"/>
      <c r="AB22" s="293"/>
      <c r="AC22" s="293"/>
      <c r="AD22" s="293"/>
    </row>
    <row r="23" spans="1:30" ht="15.75">
      <c r="A23" s="61" t="s">
        <v>423</v>
      </c>
      <c r="B23" s="325">
        <f>SUM(B6:Q15)-SUM('[2]55收支表-1'!$B$6:$Q$16)+SUM('[2]55收支表-1'!$J$6:$Q$6)</f>
        <v>0</v>
      </c>
      <c r="C23" s="325"/>
      <c r="D23" s="326"/>
      <c r="E23" s="410">
        <f>SUM(B6:Q15)-SUM('[2]55收支表-1'!$B$6:$Q$16)+SUM('[2]55收支表-1'!$J$6:$Q$6)</f>
        <v>0</v>
      </c>
      <c r="F23" s="326"/>
      <c r="G23" s="326"/>
      <c r="H23" s="326"/>
      <c r="I23" s="326"/>
      <c r="J23" s="326"/>
      <c r="K23" s="326"/>
      <c r="L23" s="326"/>
      <c r="M23" s="326"/>
      <c r="N23" s="326"/>
      <c r="O23" s="326"/>
      <c r="P23" s="326"/>
      <c r="Q23" s="326"/>
      <c r="R23" s="293"/>
      <c r="S23" s="293"/>
      <c r="T23" s="293"/>
      <c r="U23" s="293"/>
      <c r="V23" s="293"/>
      <c r="W23" s="293"/>
      <c r="X23" s="293"/>
      <c r="Y23" s="293"/>
      <c r="Z23" s="293"/>
      <c r="AA23" s="293"/>
      <c r="AB23" s="293"/>
      <c r="AC23" s="293"/>
      <c r="AD23" s="293"/>
    </row>
    <row r="24" spans="1:30" ht="24" customHeight="1">
      <c r="A24" s="293">
        <v>107</v>
      </c>
      <c r="B24" s="325">
        <f>B15-'[2]55收支表-1'!B16</f>
        <v>0</v>
      </c>
      <c r="C24" s="325">
        <f>C15-'[2]55收支表-1'!C16</f>
        <v>0</v>
      </c>
      <c r="D24" s="325">
        <f>D15-'[2]55收支表-1'!D16</f>
        <v>0</v>
      </c>
      <c r="E24" s="325">
        <f>E15-'[2]55收支表-1'!E16</f>
        <v>0</v>
      </c>
      <c r="F24" s="325">
        <f>F15-'[2]55收支表-1'!F16</f>
        <v>0</v>
      </c>
      <c r="G24" s="325">
        <f>G15-'[2]55收支表-1'!G16</f>
        <v>0</v>
      </c>
      <c r="H24" s="325">
        <f>H15-'[2]55收支表-1'!H16</f>
        <v>0</v>
      </c>
      <c r="I24" s="325">
        <f>I15-'[2]55收支表-1'!I16</f>
        <v>0</v>
      </c>
      <c r="J24" s="325">
        <f>J15-'[2]55收支表-1'!J16</f>
        <v>0</v>
      </c>
      <c r="K24" s="325">
        <f>K15-'[2]55收支表-1'!K16</f>
        <v>0</v>
      </c>
      <c r="L24" s="325">
        <f>L15-'[2]55收支表-1'!L16</f>
        <v>0</v>
      </c>
      <c r="M24" s="325">
        <f>M15-'[2]55收支表-1'!M16</f>
        <v>0</v>
      </c>
      <c r="N24" s="325">
        <f>N15-'[2]55收支表-1'!N16</f>
        <v>0</v>
      </c>
      <c r="O24" s="325">
        <f>O15-'[2]55收支表-1'!O16</f>
        <v>0</v>
      </c>
      <c r="P24" s="325">
        <f>P15-'[2]55收支表-1'!P16</f>
        <v>0</v>
      </c>
      <c r="Q24" s="325">
        <f>Q15-'[2]55收支表-1'!Q16</f>
        <v>0</v>
      </c>
      <c r="R24" s="293"/>
      <c r="S24" s="293"/>
      <c r="T24" s="293"/>
      <c r="U24" s="293"/>
      <c r="V24" s="293"/>
      <c r="W24" s="293"/>
      <c r="X24" s="293"/>
      <c r="Y24" s="293"/>
      <c r="Z24" s="293"/>
      <c r="AA24" s="293"/>
      <c r="AB24" s="293"/>
      <c r="AC24" s="293"/>
      <c r="AD24" s="293"/>
    </row>
    <row r="25" spans="1:30" ht="24" customHeight="1">
      <c r="A25" s="305"/>
      <c r="B25" s="409"/>
      <c r="C25" s="409"/>
      <c r="D25" s="409"/>
      <c r="E25" s="409"/>
      <c r="F25" s="409"/>
      <c r="G25" s="409"/>
      <c r="H25" s="409"/>
      <c r="I25" s="409"/>
      <c r="J25" s="409"/>
      <c r="K25" s="409"/>
      <c r="L25" s="409"/>
      <c r="M25" s="409"/>
      <c r="N25" s="409"/>
      <c r="O25" s="409"/>
      <c r="P25" s="409"/>
      <c r="Q25" s="409"/>
    </row>
    <row r="26" spans="1:30" ht="24" customHeight="1">
      <c r="B26" s="324"/>
      <c r="C26" s="324"/>
      <c r="D26" s="324"/>
      <c r="E26" s="324"/>
      <c r="F26" s="324"/>
      <c r="G26" s="324"/>
      <c r="H26" s="324"/>
      <c r="I26" s="324"/>
      <c r="J26" s="324"/>
      <c r="K26" s="324"/>
      <c r="L26" s="324"/>
      <c r="M26" s="324"/>
      <c r="N26" s="324"/>
      <c r="O26" s="324"/>
      <c r="P26" s="324"/>
      <c r="Q26" s="324"/>
    </row>
    <row r="27" spans="1:30" ht="24" customHeight="1">
      <c r="B27" s="324"/>
      <c r="C27" s="324"/>
      <c r="D27" s="324"/>
      <c r="E27" s="324"/>
      <c r="F27" s="324"/>
      <c r="G27" s="324"/>
      <c r="H27" s="324"/>
      <c r="I27" s="324"/>
      <c r="J27" s="324"/>
      <c r="K27" s="324"/>
      <c r="L27" s="324"/>
      <c r="M27" s="324"/>
      <c r="N27" s="324"/>
      <c r="O27" s="324"/>
      <c r="P27" s="324"/>
      <c r="Q27" s="324"/>
    </row>
    <row r="28" spans="1:30" ht="24" customHeight="1">
      <c r="B28" s="324"/>
      <c r="C28" s="324"/>
      <c r="D28" s="324"/>
      <c r="E28" s="324"/>
      <c r="F28" s="324"/>
      <c r="G28" s="324"/>
      <c r="H28" s="324"/>
      <c r="I28" s="324"/>
      <c r="J28" s="324"/>
      <c r="K28" s="324"/>
      <c r="L28" s="324"/>
      <c r="M28" s="324"/>
      <c r="N28" s="324"/>
      <c r="O28" s="324"/>
      <c r="P28" s="324"/>
      <c r="Q28" s="324"/>
    </row>
    <row r="29" spans="1:30" ht="24" customHeight="1">
      <c r="B29" s="324"/>
      <c r="C29" s="324"/>
      <c r="D29" s="324"/>
      <c r="E29" s="324"/>
      <c r="F29" s="324"/>
      <c r="G29" s="324"/>
      <c r="H29" s="324"/>
      <c r="I29" s="324"/>
      <c r="J29" s="324"/>
      <c r="K29" s="324"/>
      <c r="L29" s="324"/>
      <c r="M29" s="324"/>
      <c r="N29" s="324"/>
      <c r="O29" s="324"/>
      <c r="P29" s="324"/>
      <c r="Q29" s="324"/>
    </row>
    <row r="30" spans="1:30" ht="24" customHeight="1">
      <c r="B30" s="324"/>
      <c r="C30" s="324"/>
      <c r="D30" s="324"/>
      <c r="E30" s="324"/>
      <c r="F30" s="324"/>
      <c r="G30" s="324"/>
      <c r="H30" s="324"/>
      <c r="I30" s="324"/>
      <c r="J30" s="324"/>
      <c r="K30" s="324"/>
      <c r="L30" s="324"/>
      <c r="M30" s="324"/>
      <c r="N30" s="324"/>
      <c r="O30" s="324"/>
      <c r="P30" s="324"/>
      <c r="Q30" s="324"/>
    </row>
    <row r="31" spans="1:30" ht="24" customHeight="1">
      <c r="B31" s="324"/>
      <c r="C31" s="324"/>
      <c r="D31" s="324"/>
      <c r="E31" s="324"/>
      <c r="F31" s="324"/>
      <c r="G31" s="324"/>
      <c r="H31" s="324"/>
      <c r="I31" s="324"/>
      <c r="J31" s="324"/>
      <c r="K31" s="324"/>
      <c r="L31" s="324"/>
      <c r="M31" s="324"/>
      <c r="N31" s="324"/>
      <c r="O31" s="324"/>
      <c r="P31" s="324"/>
      <c r="Q31" s="324"/>
    </row>
    <row r="32" spans="1:30" ht="24" customHeight="1">
      <c r="B32" s="324"/>
      <c r="C32" s="324"/>
      <c r="D32" s="324"/>
      <c r="E32" s="324"/>
      <c r="F32" s="324"/>
      <c r="G32" s="324"/>
      <c r="H32" s="324"/>
      <c r="I32" s="324"/>
      <c r="J32" s="324"/>
      <c r="K32" s="324"/>
      <c r="L32" s="324"/>
      <c r="M32" s="324"/>
      <c r="N32" s="324"/>
      <c r="O32" s="324"/>
      <c r="P32" s="324"/>
      <c r="Q32" s="324"/>
    </row>
    <row r="33" spans="2:17" ht="24" customHeight="1">
      <c r="B33" s="324"/>
      <c r="C33" s="324"/>
      <c r="D33" s="324"/>
      <c r="E33" s="324"/>
      <c r="F33" s="324"/>
      <c r="G33" s="324"/>
      <c r="H33" s="324"/>
      <c r="I33" s="324"/>
      <c r="J33" s="324"/>
      <c r="K33" s="324"/>
      <c r="L33" s="324"/>
      <c r="M33" s="324"/>
      <c r="N33" s="324"/>
      <c r="O33" s="324"/>
      <c r="P33" s="324"/>
      <c r="Q33" s="324"/>
    </row>
    <row r="34" spans="2:17" ht="24" customHeight="1">
      <c r="B34" s="324"/>
      <c r="C34" s="324"/>
      <c r="D34" s="324"/>
      <c r="E34" s="324"/>
      <c r="F34" s="324"/>
      <c r="G34" s="324"/>
      <c r="H34" s="324"/>
      <c r="I34" s="324"/>
      <c r="J34" s="324"/>
      <c r="K34" s="324"/>
      <c r="L34" s="324"/>
      <c r="M34" s="324"/>
      <c r="N34" s="324"/>
      <c r="O34" s="324"/>
      <c r="P34" s="324"/>
      <c r="Q34" s="324"/>
    </row>
    <row r="35" spans="2:17" ht="24" customHeight="1">
      <c r="B35" s="324"/>
      <c r="C35" s="324"/>
      <c r="D35" s="324"/>
      <c r="E35" s="324"/>
      <c r="F35" s="324"/>
      <c r="G35" s="324"/>
      <c r="H35" s="324"/>
      <c r="I35" s="324"/>
      <c r="J35" s="324"/>
      <c r="K35" s="324"/>
      <c r="L35" s="324"/>
      <c r="M35" s="324"/>
      <c r="N35" s="324"/>
      <c r="O35" s="324"/>
      <c r="P35" s="324"/>
      <c r="Q35" s="324"/>
    </row>
  </sheetData>
  <mergeCells count="12">
    <mergeCell ref="L4:N4"/>
    <mergeCell ref="O4:Q4"/>
    <mergeCell ref="A1:I1"/>
    <mergeCell ref="J1:Q1"/>
    <mergeCell ref="A2:I2"/>
    <mergeCell ref="J2:O2"/>
    <mergeCell ref="P2:Q2"/>
    <mergeCell ref="A3:A5"/>
    <mergeCell ref="B3:I3"/>
    <mergeCell ref="J3:Q3"/>
    <mergeCell ref="D4:F4"/>
    <mergeCell ref="G4:I4"/>
  </mergeCells>
  <phoneticPr fontId="3" type="noConversion"/>
  <pageMargins left="0.39370078740157483" right="0.31496062992125984" top="0.59055118110236227" bottom="0.25" header="0.19685039370078741" footer="0"/>
  <pageSetup paperSize="9" scale="78" fitToWidth="2" pageOrder="overThenDown" orientation="portrait" r:id="rId1"/>
  <headerFooter alignWithMargins="0"/>
  <colBreaks count="1" manualBreakCount="1">
    <brk id="9" max="1048575" man="1"/>
  </colBreaks>
  <legacyDrawing r:id="rId2"/>
</worksheet>
</file>

<file path=xl/worksheets/sheet58.xml><?xml version="1.0" encoding="utf-8"?>
<worksheet xmlns="http://schemas.openxmlformats.org/spreadsheetml/2006/main" xmlns:r="http://schemas.openxmlformats.org/officeDocument/2006/relationships">
  <sheetPr>
    <tabColor indexed="46"/>
  </sheetPr>
  <dimension ref="A1:AC31"/>
  <sheetViews>
    <sheetView view="pageBreakPreview" zoomScaleNormal="100" zoomScaleSheetLayoutView="100" workbookViewId="0">
      <pane xSplit="1" ySplit="5" topLeftCell="J6" activePane="bottomRight" state="frozen"/>
      <selection activeCell="E20" sqref="E20"/>
      <selection pane="topRight" activeCell="E20" sqref="E20"/>
      <selection pane="bottomLeft" activeCell="E20" sqref="E20"/>
      <selection pane="bottomRight" activeCell="E20" sqref="E20"/>
    </sheetView>
  </sheetViews>
  <sheetFormatPr defaultColWidth="9" defaultRowHeight="24" customHeight="1"/>
  <cols>
    <col min="1" max="1" width="10.125" style="273" customWidth="1"/>
    <col min="2" max="7" width="11.75" style="273" customWidth="1"/>
    <col min="8" max="8" width="12.75" style="273" bestFit="1" customWidth="1"/>
    <col min="9" max="12" width="12.875" style="273" customWidth="1"/>
    <col min="13" max="13" width="12.625" style="273" customWidth="1"/>
    <col min="14" max="14" width="13" style="273" customWidth="1"/>
    <col min="15" max="15" width="13.5" style="273" customWidth="1"/>
    <col min="16" max="16" width="10.5" style="273" hidden="1" customWidth="1"/>
    <col min="17" max="17" width="12.75" style="257" customWidth="1"/>
    <col min="18" max="18" width="10" style="257" customWidth="1"/>
    <col min="19" max="19" width="9.5" style="257" customWidth="1"/>
    <col min="20" max="20" width="9" style="257"/>
    <col min="21" max="22" width="7.25" style="257" customWidth="1"/>
    <col min="23" max="23" width="9.25" style="257" customWidth="1"/>
    <col min="24" max="24" width="8.75" style="257" customWidth="1"/>
    <col min="25" max="25" width="8.375" style="257" customWidth="1"/>
    <col min="26" max="16384" width="9" style="257"/>
  </cols>
  <sheetData>
    <row r="1" spans="1:28" s="60" customFormat="1" ht="33" customHeight="1">
      <c r="A1" s="1098" t="s">
        <v>619</v>
      </c>
      <c r="B1" s="1098"/>
      <c r="C1" s="1098"/>
      <c r="D1" s="1098"/>
      <c r="E1" s="1098"/>
      <c r="F1" s="1098"/>
      <c r="G1" s="1098"/>
      <c r="H1" s="1098"/>
      <c r="I1" s="885" t="s">
        <v>620</v>
      </c>
      <c r="J1" s="885"/>
      <c r="K1" s="885"/>
      <c r="L1" s="885"/>
      <c r="M1" s="885"/>
      <c r="N1" s="885"/>
      <c r="O1" s="885"/>
      <c r="P1" s="172"/>
    </row>
    <row r="2" spans="1:28" ht="33" customHeight="1">
      <c r="A2" s="1117" t="s">
        <v>461</v>
      </c>
      <c r="B2" s="1117"/>
      <c r="C2" s="1117"/>
      <c r="D2" s="1117"/>
      <c r="E2" s="1117"/>
      <c r="F2" s="1117"/>
      <c r="G2" s="1117"/>
      <c r="H2" s="1117"/>
      <c r="I2" s="1119" t="s">
        <v>395</v>
      </c>
      <c r="J2" s="1119"/>
      <c r="K2" s="1119"/>
      <c r="L2" s="1119"/>
      <c r="M2" s="1119"/>
      <c r="N2" s="1120" t="s">
        <v>457</v>
      </c>
      <c r="O2" s="1120"/>
      <c r="P2" s="327"/>
      <c r="R2" s="293"/>
      <c r="S2" s="293"/>
      <c r="T2" s="293"/>
      <c r="U2" s="293"/>
      <c r="V2" s="293"/>
      <c r="X2" s="293"/>
      <c r="Y2" s="293"/>
      <c r="Z2" s="293"/>
      <c r="AA2" s="293"/>
      <c r="AB2" s="293"/>
    </row>
    <row r="3" spans="1:28" ht="30.2" customHeight="1">
      <c r="A3" s="1143" t="s">
        <v>48</v>
      </c>
      <c r="B3" s="1145" t="s">
        <v>621</v>
      </c>
      <c r="C3" s="1146"/>
      <c r="D3" s="1140" t="s">
        <v>622</v>
      </c>
      <c r="E3" s="1141"/>
      <c r="F3" s="1140" t="s">
        <v>623</v>
      </c>
      <c r="G3" s="1141"/>
      <c r="H3" s="328" t="s">
        <v>624</v>
      </c>
      <c r="I3" s="329" t="s">
        <v>625</v>
      </c>
      <c r="J3" s="1140" t="s">
        <v>626</v>
      </c>
      <c r="K3" s="1141"/>
      <c r="L3" s="1140" t="s">
        <v>627</v>
      </c>
      <c r="M3" s="1141"/>
      <c r="N3" s="1140" t="s">
        <v>628</v>
      </c>
      <c r="O3" s="1142"/>
      <c r="P3" s="330" t="s">
        <v>629</v>
      </c>
    </row>
    <row r="4" spans="1:28" ht="30.2" customHeight="1">
      <c r="A4" s="1144"/>
      <c r="B4" s="331" t="s">
        <v>630</v>
      </c>
      <c r="C4" s="331" t="s">
        <v>631</v>
      </c>
      <c r="D4" s="332" t="s">
        <v>630</v>
      </c>
      <c r="E4" s="332" t="s">
        <v>631</v>
      </c>
      <c r="F4" s="332" t="s">
        <v>630</v>
      </c>
      <c r="G4" s="332" t="s">
        <v>631</v>
      </c>
      <c r="H4" s="333" t="s">
        <v>630</v>
      </c>
      <c r="I4" s="334" t="s">
        <v>631</v>
      </c>
      <c r="J4" s="332" t="s">
        <v>630</v>
      </c>
      <c r="K4" s="332" t="s">
        <v>631</v>
      </c>
      <c r="L4" s="332" t="s">
        <v>630</v>
      </c>
      <c r="M4" s="332" t="s">
        <v>631</v>
      </c>
      <c r="N4" s="332" t="s">
        <v>630</v>
      </c>
      <c r="O4" s="333" t="s">
        <v>631</v>
      </c>
      <c r="P4" s="335"/>
    </row>
    <row r="5" spans="1:28" ht="65.099999999999994" hidden="1" customHeight="1">
      <c r="A5" s="58" t="s">
        <v>53</v>
      </c>
      <c r="B5" s="336">
        <v>39820677</v>
      </c>
      <c r="C5" s="337">
        <v>38647555</v>
      </c>
      <c r="D5" s="337">
        <v>16258207</v>
      </c>
      <c r="E5" s="337">
        <v>12378551</v>
      </c>
      <c r="F5" s="337">
        <v>23562470</v>
      </c>
      <c r="G5" s="337">
        <v>26269004</v>
      </c>
      <c r="H5" s="337">
        <v>13479324</v>
      </c>
      <c r="I5" s="337">
        <v>23205845</v>
      </c>
      <c r="J5" s="337">
        <v>610</v>
      </c>
      <c r="K5" s="337">
        <v>6666306</v>
      </c>
      <c r="L5" s="337">
        <v>13478714</v>
      </c>
      <c r="M5" s="337">
        <v>16539539</v>
      </c>
      <c r="N5" s="337">
        <v>37041184</v>
      </c>
      <c r="O5" s="337">
        <v>42808543</v>
      </c>
      <c r="P5" s="338">
        <v>121311</v>
      </c>
    </row>
    <row r="6" spans="1:28" s="341" customFormat="1" ht="65.099999999999994" hidden="1" customHeight="1">
      <c r="A6" s="58" t="s">
        <v>60</v>
      </c>
      <c r="B6" s="339">
        <v>44833609</v>
      </c>
      <c r="C6" s="277">
        <v>42375674</v>
      </c>
      <c r="D6" s="339">
        <v>16623394</v>
      </c>
      <c r="E6" s="277">
        <v>17566518</v>
      </c>
      <c r="F6" s="339">
        <v>28210215</v>
      </c>
      <c r="G6" s="277">
        <v>24809156</v>
      </c>
      <c r="H6" s="339">
        <v>10356100</v>
      </c>
      <c r="I6" s="277">
        <v>17934471</v>
      </c>
      <c r="J6" s="339">
        <v>182680</v>
      </c>
      <c r="K6" s="277">
        <v>12556110</v>
      </c>
      <c r="L6" s="339">
        <v>10173420</v>
      </c>
      <c r="M6" s="277">
        <v>5378361</v>
      </c>
      <c r="N6" s="339">
        <v>38383635</v>
      </c>
      <c r="O6" s="277">
        <v>30187517</v>
      </c>
      <c r="P6" s="340">
        <v>121311</v>
      </c>
    </row>
    <row r="7" spans="1:28" s="341" customFormat="1" ht="65.099999999999994" hidden="1" customHeight="1">
      <c r="A7" s="58" t="s">
        <v>54</v>
      </c>
      <c r="B7" s="339">
        <v>50221793</v>
      </c>
      <c r="C7" s="277">
        <v>47831121</v>
      </c>
      <c r="D7" s="339">
        <v>20147222</v>
      </c>
      <c r="E7" s="277">
        <v>19582317</v>
      </c>
      <c r="F7" s="339">
        <v>30074571</v>
      </c>
      <c r="G7" s="277">
        <f>C7-E7</f>
        <v>28248804</v>
      </c>
      <c r="H7" s="339">
        <v>13709905</v>
      </c>
      <c r="I7" s="277">
        <v>51221470</v>
      </c>
      <c r="J7" s="339">
        <v>289682</v>
      </c>
      <c r="K7" s="277">
        <v>40863928</v>
      </c>
      <c r="L7" s="339">
        <v>13420223</v>
      </c>
      <c r="M7" s="342">
        <f>I7-K7</f>
        <v>10357542</v>
      </c>
      <c r="N7" s="339">
        <v>43494794</v>
      </c>
      <c r="O7" s="339">
        <f t="shared" ref="O7:O21" si="0">M7+G7</f>
        <v>38606346</v>
      </c>
      <c r="P7" s="340"/>
    </row>
    <row r="8" spans="1:28" s="341" customFormat="1" ht="65.099999999999994" hidden="1" customHeight="1">
      <c r="A8" s="58" t="s">
        <v>8</v>
      </c>
      <c r="B8" s="339">
        <v>56701294</v>
      </c>
      <c r="C8" s="277">
        <v>53007400</v>
      </c>
      <c r="D8" s="339">
        <v>31086926</v>
      </c>
      <c r="E8" s="277">
        <v>23420408</v>
      </c>
      <c r="F8" s="339">
        <v>25614368</v>
      </c>
      <c r="G8" s="277">
        <f>C8-E8</f>
        <v>29586992</v>
      </c>
      <c r="H8" s="339">
        <v>10505169</v>
      </c>
      <c r="I8" s="277">
        <v>29081477</v>
      </c>
      <c r="J8" s="339">
        <v>273597</v>
      </c>
      <c r="K8" s="277">
        <v>271506</v>
      </c>
      <c r="L8" s="339">
        <v>10231572</v>
      </c>
      <c r="M8" s="342">
        <f>I8-K8</f>
        <v>28809971</v>
      </c>
      <c r="N8" s="339">
        <f t="shared" ref="N8:N15" si="1">L8+F8</f>
        <v>35845940</v>
      </c>
      <c r="O8" s="339">
        <f t="shared" si="0"/>
        <v>58396963</v>
      </c>
      <c r="P8" s="340"/>
    </row>
    <row r="9" spans="1:28" s="341" customFormat="1" ht="65.099999999999994" hidden="1" customHeight="1">
      <c r="A9" s="58" t="s">
        <v>0</v>
      </c>
      <c r="B9" s="343">
        <v>56467332</v>
      </c>
      <c r="C9" s="277">
        <v>53392129</v>
      </c>
      <c r="D9" s="339">
        <v>33014931</v>
      </c>
      <c r="E9" s="277">
        <v>25548453</v>
      </c>
      <c r="F9" s="339">
        <v>23452401</v>
      </c>
      <c r="G9" s="277">
        <f>C9-E9</f>
        <v>27843676</v>
      </c>
      <c r="H9" s="339">
        <v>14726134</v>
      </c>
      <c r="I9" s="277">
        <v>22067454</v>
      </c>
      <c r="J9" s="339">
        <v>496161</v>
      </c>
      <c r="K9" s="277">
        <v>592470</v>
      </c>
      <c r="L9" s="339">
        <v>14229973</v>
      </c>
      <c r="M9" s="342">
        <f>I9-K9</f>
        <v>21474984</v>
      </c>
      <c r="N9" s="339">
        <f t="shared" si="1"/>
        <v>37682374</v>
      </c>
      <c r="O9" s="339">
        <f t="shared" si="0"/>
        <v>49318660</v>
      </c>
      <c r="P9" s="340"/>
    </row>
    <row r="10" spans="1:28" s="341" customFormat="1" ht="58.15" hidden="1" customHeight="1">
      <c r="A10" s="344" t="s">
        <v>632</v>
      </c>
      <c r="B10" s="345">
        <v>55268615</v>
      </c>
      <c r="C10" s="346">
        <v>54472275</v>
      </c>
      <c r="D10" s="347">
        <v>34157938</v>
      </c>
      <c r="E10" s="346">
        <v>28329014</v>
      </c>
      <c r="F10" s="347">
        <v>21110677</v>
      </c>
      <c r="G10" s="346">
        <f>C10-E10</f>
        <v>26143261</v>
      </c>
      <c r="H10" s="347">
        <v>20400531</v>
      </c>
      <c r="I10" s="346">
        <v>9150260</v>
      </c>
      <c r="J10" s="347">
        <v>801492</v>
      </c>
      <c r="K10" s="346">
        <v>77926775</v>
      </c>
      <c r="L10" s="347">
        <v>19559039</v>
      </c>
      <c r="M10" s="342">
        <f>I10-K10</f>
        <v>-68776515</v>
      </c>
      <c r="N10" s="347">
        <f t="shared" si="1"/>
        <v>40669716</v>
      </c>
      <c r="O10" s="342">
        <f t="shared" si="0"/>
        <v>-42633254</v>
      </c>
      <c r="P10" s="340"/>
    </row>
    <row r="11" spans="1:28" s="341" customFormat="1" ht="58.15" hidden="1" customHeight="1">
      <c r="A11" s="344" t="s">
        <v>633</v>
      </c>
      <c r="B11" s="345">
        <v>56121210</v>
      </c>
      <c r="C11" s="346">
        <v>55422063</v>
      </c>
      <c r="D11" s="347">
        <v>36044684</v>
      </c>
      <c r="E11" s="346">
        <v>30669240</v>
      </c>
      <c r="F11" s="347">
        <v>20076526</v>
      </c>
      <c r="G11" s="346">
        <f>C11-E11</f>
        <v>24752823</v>
      </c>
      <c r="H11" s="347">
        <v>18646702</v>
      </c>
      <c r="I11" s="346">
        <v>67667762</v>
      </c>
      <c r="J11" s="347">
        <v>645404</v>
      </c>
      <c r="K11" s="346">
        <v>2442380</v>
      </c>
      <c r="L11" s="347">
        <v>18001298</v>
      </c>
      <c r="M11" s="342">
        <f>I11-K11</f>
        <v>65225382</v>
      </c>
      <c r="N11" s="347">
        <f t="shared" si="1"/>
        <v>38077824</v>
      </c>
      <c r="O11" s="347">
        <f t="shared" si="0"/>
        <v>89978205</v>
      </c>
      <c r="P11" s="340"/>
    </row>
    <row r="12" spans="1:28" s="341" customFormat="1" ht="58.15" customHeight="1">
      <c r="A12" s="344" t="s">
        <v>634</v>
      </c>
      <c r="B12" s="347">
        <v>57146760</v>
      </c>
      <c r="C12" s="346">
        <v>56805040</v>
      </c>
      <c r="D12" s="347">
        <v>35859961</v>
      </c>
      <c r="E12" s="346">
        <v>35544169</v>
      </c>
      <c r="F12" s="347">
        <f t="shared" ref="F12:G21" si="2">B12-D12</f>
        <v>21286799</v>
      </c>
      <c r="G12" s="346">
        <f t="shared" si="2"/>
        <v>21260871</v>
      </c>
      <c r="H12" s="347">
        <v>10342657</v>
      </c>
      <c r="I12" s="346">
        <v>26400952</v>
      </c>
      <c r="J12" s="347">
        <v>510872</v>
      </c>
      <c r="K12" s="346">
        <v>11825771</v>
      </c>
      <c r="L12" s="347">
        <f t="shared" ref="L12:M21" si="3">H12-J12</f>
        <v>9831785</v>
      </c>
      <c r="M12" s="342">
        <f t="shared" si="3"/>
        <v>14575181</v>
      </c>
      <c r="N12" s="347">
        <f t="shared" si="1"/>
        <v>31118584</v>
      </c>
      <c r="O12" s="347">
        <f t="shared" si="0"/>
        <v>35836052</v>
      </c>
      <c r="P12" s="340"/>
    </row>
    <row r="13" spans="1:28" s="341" customFormat="1" ht="58.15" customHeight="1">
      <c r="A13" s="344" t="s">
        <v>635</v>
      </c>
      <c r="B13" s="347">
        <v>58204990</v>
      </c>
      <c r="C13" s="346">
        <v>57675440</v>
      </c>
      <c r="D13" s="347">
        <v>38850579</v>
      </c>
      <c r="E13" s="346">
        <v>42601731</v>
      </c>
      <c r="F13" s="347">
        <f t="shared" si="2"/>
        <v>19354411</v>
      </c>
      <c r="G13" s="346">
        <f t="shared" si="2"/>
        <v>15073709</v>
      </c>
      <c r="H13" s="347">
        <v>16320125</v>
      </c>
      <c r="I13" s="346">
        <v>11989414</v>
      </c>
      <c r="J13" s="347">
        <v>708305</v>
      </c>
      <c r="K13" s="346">
        <v>34985287</v>
      </c>
      <c r="L13" s="347">
        <f t="shared" si="3"/>
        <v>15611820</v>
      </c>
      <c r="M13" s="342">
        <f t="shared" si="3"/>
        <v>-22995873</v>
      </c>
      <c r="N13" s="347">
        <f t="shared" si="1"/>
        <v>34966231</v>
      </c>
      <c r="O13" s="348">
        <f t="shared" si="0"/>
        <v>-7922164</v>
      </c>
      <c r="P13" s="340"/>
    </row>
    <row r="14" spans="1:28" s="341" customFormat="1" ht="58.15" customHeight="1">
      <c r="A14" s="344" t="s">
        <v>636</v>
      </c>
      <c r="B14" s="347">
        <v>60891376</v>
      </c>
      <c r="C14" s="346">
        <v>59046402</v>
      </c>
      <c r="D14" s="347">
        <v>46695554</v>
      </c>
      <c r="E14" s="346">
        <v>50147619</v>
      </c>
      <c r="F14" s="347">
        <f t="shared" si="2"/>
        <v>14195822</v>
      </c>
      <c r="G14" s="346">
        <f t="shared" si="2"/>
        <v>8898783</v>
      </c>
      <c r="H14" s="347">
        <v>19304526</v>
      </c>
      <c r="I14" s="346">
        <v>33491167</v>
      </c>
      <c r="J14" s="347">
        <v>807576</v>
      </c>
      <c r="K14" s="346">
        <v>6834494</v>
      </c>
      <c r="L14" s="347">
        <f t="shared" si="3"/>
        <v>18496950</v>
      </c>
      <c r="M14" s="342">
        <f t="shared" si="3"/>
        <v>26656673</v>
      </c>
      <c r="N14" s="347">
        <f t="shared" si="1"/>
        <v>32692772</v>
      </c>
      <c r="O14" s="347">
        <f t="shared" si="0"/>
        <v>35555456</v>
      </c>
      <c r="P14" s="340"/>
    </row>
    <row r="15" spans="1:28" s="341" customFormat="1" ht="58.15" customHeight="1">
      <c r="A15" s="344" t="s">
        <v>637</v>
      </c>
      <c r="B15" s="349">
        <v>61169468</v>
      </c>
      <c r="C15" s="350">
        <v>59250545</v>
      </c>
      <c r="D15" s="348">
        <v>54001291</v>
      </c>
      <c r="E15" s="342">
        <v>57728247</v>
      </c>
      <c r="F15" s="348">
        <f t="shared" si="2"/>
        <v>7168177</v>
      </c>
      <c r="G15" s="342">
        <f t="shared" si="2"/>
        <v>1522298</v>
      </c>
      <c r="H15" s="348">
        <v>19011464</v>
      </c>
      <c r="I15" s="348">
        <v>41142126</v>
      </c>
      <c r="J15" s="348">
        <v>760207</v>
      </c>
      <c r="K15" s="348">
        <v>546286</v>
      </c>
      <c r="L15" s="348">
        <f t="shared" si="3"/>
        <v>18251257</v>
      </c>
      <c r="M15" s="342">
        <f t="shared" si="3"/>
        <v>40595840</v>
      </c>
      <c r="N15" s="347">
        <f t="shared" si="1"/>
        <v>25419434</v>
      </c>
      <c r="O15" s="347">
        <f t="shared" si="0"/>
        <v>42118138</v>
      </c>
      <c r="P15" s="340"/>
    </row>
    <row r="16" spans="1:28" s="341" customFormat="1" ht="58.15" customHeight="1">
      <c r="A16" s="344" t="s">
        <v>638</v>
      </c>
      <c r="B16" s="349">
        <v>62104083</v>
      </c>
      <c r="C16" s="350">
        <v>59658834</v>
      </c>
      <c r="D16" s="348">
        <v>60928067</v>
      </c>
      <c r="E16" s="342">
        <v>63022530</v>
      </c>
      <c r="F16" s="348">
        <f>B16-D16</f>
        <v>1176016</v>
      </c>
      <c r="G16" s="342">
        <f>C16-E16</f>
        <v>-3363696</v>
      </c>
      <c r="H16" s="348">
        <v>21390723</v>
      </c>
      <c r="I16" s="348">
        <v>35959699</v>
      </c>
      <c r="J16" s="348">
        <v>760225</v>
      </c>
      <c r="K16" s="348">
        <v>2376199</v>
      </c>
      <c r="L16" s="348">
        <f>H16-J16</f>
        <v>20630498</v>
      </c>
      <c r="M16" s="342">
        <f>I16-K16</f>
        <v>33583500</v>
      </c>
      <c r="N16" s="347">
        <f>L16+F16</f>
        <v>21806514</v>
      </c>
      <c r="O16" s="347">
        <f>M16+G16</f>
        <v>30219804</v>
      </c>
      <c r="P16" s="340"/>
    </row>
    <row r="17" spans="1:29" s="351" customFormat="1" ht="58.15" customHeight="1">
      <c r="A17" s="344" t="s">
        <v>55</v>
      </c>
      <c r="B17" s="349">
        <v>60477111</v>
      </c>
      <c r="C17" s="350">
        <v>59729631</v>
      </c>
      <c r="D17" s="348">
        <v>72396168</v>
      </c>
      <c r="E17" s="342">
        <v>70034840</v>
      </c>
      <c r="F17" s="348">
        <f>B17-D17</f>
        <v>-11919057</v>
      </c>
      <c r="G17" s="342">
        <f>C17-E17</f>
        <v>-10305209</v>
      </c>
      <c r="H17" s="348">
        <v>23678985</v>
      </c>
      <c r="I17" s="348">
        <v>7087684</v>
      </c>
      <c r="J17" s="348">
        <v>670902</v>
      </c>
      <c r="K17" s="348">
        <v>15998875</v>
      </c>
      <c r="L17" s="348">
        <f>H17-J17</f>
        <v>23008083</v>
      </c>
      <c r="M17" s="342">
        <f>I17-K17</f>
        <v>-8911191</v>
      </c>
      <c r="N17" s="347">
        <f>L17+F17</f>
        <v>11089026</v>
      </c>
      <c r="O17" s="348">
        <f>M17+G17</f>
        <v>-19216400</v>
      </c>
      <c r="P17" s="340"/>
    </row>
    <row r="18" spans="1:29" s="351" customFormat="1" ht="58.15" customHeight="1">
      <c r="A18" s="344" t="s">
        <v>99</v>
      </c>
      <c r="B18" s="349">
        <v>59491647</v>
      </c>
      <c r="C18" s="350">
        <v>59607094</v>
      </c>
      <c r="D18" s="348">
        <v>78626664</v>
      </c>
      <c r="E18" s="342">
        <v>78583980</v>
      </c>
      <c r="F18" s="348">
        <f t="shared" ref="F18:G20" si="4">B18-D18</f>
        <v>-19135017</v>
      </c>
      <c r="G18" s="342">
        <f t="shared" si="4"/>
        <v>-18976886</v>
      </c>
      <c r="H18" s="348">
        <v>24702313</v>
      </c>
      <c r="I18" s="348">
        <v>29764801</v>
      </c>
      <c r="J18" s="348">
        <v>1394492</v>
      </c>
      <c r="K18" s="348">
        <v>7371813</v>
      </c>
      <c r="L18" s="348">
        <f t="shared" ref="L18:M20" si="5">H18-J18</f>
        <v>23307821</v>
      </c>
      <c r="M18" s="342">
        <f t="shared" si="5"/>
        <v>22392988</v>
      </c>
      <c r="N18" s="347">
        <f t="shared" ref="N18:O20" si="6">L18+F18</f>
        <v>4172804</v>
      </c>
      <c r="O18" s="348">
        <f t="shared" si="6"/>
        <v>3416102</v>
      </c>
      <c r="P18" s="340"/>
    </row>
    <row r="19" spans="1:29" s="351" customFormat="1" ht="58.15" customHeight="1">
      <c r="A19" s="344" t="s">
        <v>188</v>
      </c>
      <c r="B19" s="349">
        <v>59893235</v>
      </c>
      <c r="C19" s="350">
        <v>59713293</v>
      </c>
      <c r="D19" s="348">
        <v>87455264</v>
      </c>
      <c r="E19" s="342">
        <v>86614878</v>
      </c>
      <c r="F19" s="348">
        <f t="shared" si="4"/>
        <v>-27562029</v>
      </c>
      <c r="G19" s="342">
        <f t="shared" si="4"/>
        <v>-26901585</v>
      </c>
      <c r="H19" s="348">
        <v>22087799</v>
      </c>
      <c r="I19" s="348">
        <v>55516086</v>
      </c>
      <c r="J19" s="348">
        <v>1280291</v>
      </c>
      <c r="K19" s="348">
        <v>18335269</v>
      </c>
      <c r="L19" s="348">
        <f t="shared" si="5"/>
        <v>20807508</v>
      </c>
      <c r="M19" s="342">
        <f t="shared" si="5"/>
        <v>37180817</v>
      </c>
      <c r="N19" s="348">
        <f t="shared" si="6"/>
        <v>-6754521</v>
      </c>
      <c r="O19" s="348">
        <f t="shared" si="6"/>
        <v>10279232</v>
      </c>
      <c r="P19" s="340"/>
    </row>
    <row r="20" spans="1:29" s="351" customFormat="1" ht="58.15" customHeight="1">
      <c r="A20" s="344" t="s">
        <v>189</v>
      </c>
      <c r="B20" s="349">
        <v>61860613</v>
      </c>
      <c r="C20" s="350">
        <f>'55收支表-1'!E15</f>
        <v>65841229</v>
      </c>
      <c r="D20" s="348">
        <v>100126364</v>
      </c>
      <c r="E20" s="342">
        <f>'55收支表-1'!H15</f>
        <v>90463497</v>
      </c>
      <c r="F20" s="348">
        <f t="shared" si="4"/>
        <v>-38265751</v>
      </c>
      <c r="G20" s="342">
        <f t="shared" si="4"/>
        <v>-24622268</v>
      </c>
      <c r="H20" s="348">
        <v>22202859</v>
      </c>
      <c r="I20" s="348">
        <f>'55收支表-1'!F15</f>
        <v>11067491</v>
      </c>
      <c r="J20" s="348">
        <v>1394349</v>
      </c>
      <c r="K20" s="348">
        <f>'55收支表-1'!I15</f>
        <v>16753994</v>
      </c>
      <c r="L20" s="348">
        <f t="shared" si="5"/>
        <v>20808510</v>
      </c>
      <c r="M20" s="342">
        <f t="shared" si="5"/>
        <v>-5686503</v>
      </c>
      <c r="N20" s="348">
        <f>L20+F20</f>
        <v>-17457241</v>
      </c>
      <c r="O20" s="348">
        <f t="shared" si="6"/>
        <v>-30308771</v>
      </c>
      <c r="P20" s="340"/>
    </row>
    <row r="21" spans="1:29" s="351" customFormat="1" ht="58.15" customHeight="1">
      <c r="A21" s="352" t="s">
        <v>639</v>
      </c>
      <c r="B21" s="353">
        <v>71895139</v>
      </c>
      <c r="C21" s="354">
        <f>'55收支表-1'!E16</f>
        <v>73813966</v>
      </c>
      <c r="D21" s="355">
        <v>96351271</v>
      </c>
      <c r="E21" s="356">
        <f>'55收支表-1'!H16</f>
        <v>90275164</v>
      </c>
      <c r="F21" s="357">
        <f t="shared" si="2"/>
        <v>-24456132</v>
      </c>
      <c r="G21" s="356">
        <f t="shared" si="2"/>
        <v>-16461198</v>
      </c>
      <c r="H21" s="355">
        <v>22884120</v>
      </c>
      <c r="I21" s="357">
        <f>'55收支表-1'!F16</f>
        <v>67607017</v>
      </c>
      <c r="J21" s="355">
        <v>1350891</v>
      </c>
      <c r="K21" s="357">
        <f>'55收支表-1'!I16</f>
        <v>9140565</v>
      </c>
      <c r="L21" s="357">
        <f t="shared" si="3"/>
        <v>21533229</v>
      </c>
      <c r="M21" s="356">
        <f t="shared" si="3"/>
        <v>58466452</v>
      </c>
      <c r="N21" s="357">
        <f>L21+F21</f>
        <v>-2922903</v>
      </c>
      <c r="O21" s="357">
        <f t="shared" si="0"/>
        <v>42005254</v>
      </c>
      <c r="P21" s="340"/>
    </row>
    <row r="22" spans="1:29" s="359" customFormat="1" ht="14.25">
      <c r="A22" s="278" t="s">
        <v>640</v>
      </c>
      <c r="B22" s="277"/>
      <c r="C22" s="277"/>
      <c r="D22" s="277"/>
      <c r="E22" s="277"/>
      <c r="F22" s="277"/>
      <c r="G22" s="277"/>
      <c r="H22" s="277"/>
      <c r="I22" s="358" t="s">
        <v>641</v>
      </c>
      <c r="J22" s="277"/>
      <c r="K22" s="277"/>
      <c r="L22" s="277"/>
      <c r="M22" s="277"/>
      <c r="N22" s="277"/>
      <c r="O22" s="277"/>
      <c r="P22" s="277"/>
      <c r="Q22" s="277"/>
      <c r="R22" s="277"/>
      <c r="S22" s="278"/>
      <c r="T22" s="277"/>
      <c r="U22" s="277"/>
      <c r="V22" s="277"/>
      <c r="W22" s="277"/>
      <c r="X22" s="277"/>
      <c r="Y22" s="277"/>
    </row>
    <row r="23" spans="1:29" s="279" customFormat="1" ht="15.75">
      <c r="A23" s="278" t="s">
        <v>642</v>
      </c>
      <c r="B23" s="277"/>
      <c r="D23" s="277"/>
      <c r="F23" s="277"/>
      <c r="H23" s="277"/>
      <c r="J23" s="277"/>
      <c r="L23" s="277"/>
      <c r="N23" s="277"/>
      <c r="P23" s="277">
        <v>121311</v>
      </c>
      <c r="Q23" s="277"/>
      <c r="R23" s="277"/>
      <c r="S23" s="278"/>
      <c r="T23" s="277"/>
      <c r="U23" s="277"/>
      <c r="V23" s="277"/>
      <c r="W23" s="277"/>
      <c r="X23" s="277"/>
      <c r="Y23" s="277"/>
    </row>
    <row r="24" spans="1:29" ht="16.899999999999999" customHeight="1">
      <c r="A24" s="278" t="s">
        <v>643</v>
      </c>
    </row>
    <row r="25" spans="1:29" ht="16.899999999999999" customHeight="1">
      <c r="A25" s="278" t="s">
        <v>672</v>
      </c>
      <c r="B25" s="324"/>
      <c r="C25" s="324"/>
    </row>
    <row r="26" spans="1:29" ht="15.75">
      <c r="B26" s="324"/>
      <c r="C26" s="324"/>
      <c r="G26" s="360">
        <f>G21-'39作業收支(累計)-OK'!Q16</f>
        <v>0</v>
      </c>
      <c r="O26" s="360">
        <f>O21-'55收支表-1'!B16</f>
        <v>0</v>
      </c>
      <c r="R26" s="293"/>
      <c r="S26" s="293"/>
      <c r="T26" s="293"/>
      <c r="W26" s="293"/>
      <c r="X26" s="293"/>
      <c r="Y26" s="293"/>
      <c r="AA26" s="293"/>
      <c r="AB26" s="293"/>
      <c r="AC26" s="293"/>
    </row>
    <row r="27" spans="1:29" ht="15.75">
      <c r="A27" s="61" t="s">
        <v>423</v>
      </c>
      <c r="B27" s="324">
        <f>SUM(B12:O20)-SUM('[2]56預決算-OK '!$B$12:$O$20)</f>
        <v>0</v>
      </c>
      <c r="C27" s="324"/>
      <c r="R27" s="293"/>
      <c r="S27" s="293"/>
      <c r="T27" s="293"/>
      <c r="U27" s="293"/>
      <c r="V27" s="293"/>
      <c r="W27" s="293"/>
      <c r="X27" s="293"/>
      <c r="Y27" s="293"/>
      <c r="Z27" s="293"/>
      <c r="AA27" s="293"/>
      <c r="AB27" s="293"/>
      <c r="AC27" s="293"/>
    </row>
    <row r="28" spans="1:29" ht="24" customHeight="1">
      <c r="A28" s="326"/>
      <c r="B28" s="361"/>
      <c r="C28" s="361"/>
      <c r="D28" s="326"/>
      <c r="E28" s="326"/>
      <c r="F28" s="326"/>
      <c r="G28" s="326"/>
      <c r="H28" s="326"/>
      <c r="I28" s="326"/>
      <c r="J28" s="326"/>
      <c r="K28" s="326"/>
      <c r="L28" s="326"/>
      <c r="M28" s="326"/>
      <c r="N28" s="326"/>
      <c r="O28" s="326"/>
      <c r="P28" s="326"/>
      <c r="Q28" s="293"/>
      <c r="R28" s="293"/>
      <c r="S28" s="293"/>
      <c r="T28" s="293"/>
      <c r="U28" s="293"/>
      <c r="V28" s="293"/>
      <c r="W28" s="293"/>
      <c r="X28" s="293"/>
      <c r="Y28" s="293"/>
      <c r="Z28" s="293"/>
      <c r="AA28" s="293"/>
      <c r="AB28" s="293"/>
      <c r="AC28" s="293"/>
    </row>
    <row r="29" spans="1:29" ht="24" customHeight="1">
      <c r="A29" s="326">
        <v>107</v>
      </c>
      <c r="B29" s="325">
        <f>B20-'[2]56預決算-OK '!B20</f>
        <v>0</v>
      </c>
      <c r="C29" s="325">
        <f>C20-'[2]56預決算-OK '!C20</f>
        <v>0</v>
      </c>
      <c r="D29" s="325">
        <f>D20-'[2]56預決算-OK '!D20</f>
        <v>0</v>
      </c>
      <c r="E29" s="325">
        <f>E20-'[2]56預決算-OK '!E20</f>
        <v>0</v>
      </c>
      <c r="F29" s="325">
        <f>F20-'[2]56預決算-OK '!F20</f>
        <v>0</v>
      </c>
      <c r="G29" s="325">
        <f>G20-'[2]56預決算-OK '!G20</f>
        <v>0</v>
      </c>
      <c r="H29" s="325">
        <f>H20-'[2]56預決算-OK '!H20</f>
        <v>0</v>
      </c>
      <c r="I29" s="325">
        <f>I20-'[2]56預決算-OK '!I20</f>
        <v>0</v>
      </c>
      <c r="J29" s="325">
        <f>J20-'[2]56預決算-OK '!J20</f>
        <v>0</v>
      </c>
      <c r="K29" s="325">
        <f>K20-'[2]56預決算-OK '!K20</f>
        <v>0</v>
      </c>
      <c r="L29" s="325">
        <f>L20-'[2]56預決算-OK '!L20</f>
        <v>0</v>
      </c>
      <c r="M29" s="325">
        <f>M20-'[2]56預決算-OK '!M20</f>
        <v>0</v>
      </c>
      <c r="N29" s="325">
        <f>N20-'[2]56預決算-OK '!N20</f>
        <v>0</v>
      </c>
      <c r="O29" s="325">
        <f>O20-'[2]56預決算-OK '!O20</f>
        <v>0</v>
      </c>
      <c r="P29" s="326"/>
      <c r="Q29" s="293"/>
      <c r="R29" s="293"/>
      <c r="S29" s="293"/>
      <c r="T29" s="293"/>
      <c r="U29" s="293"/>
      <c r="V29" s="293"/>
      <c r="W29" s="293"/>
      <c r="X29" s="293"/>
      <c r="Y29" s="293"/>
      <c r="Z29" s="293"/>
      <c r="AA29" s="293"/>
      <c r="AB29" s="293"/>
      <c r="AC29" s="293"/>
    </row>
    <row r="30" spans="1:29" ht="24" customHeight="1">
      <c r="A30" s="326"/>
      <c r="B30" s="325"/>
      <c r="C30" s="325"/>
      <c r="D30" s="326"/>
      <c r="E30" s="326"/>
      <c r="F30" s="326"/>
      <c r="G30" s="326"/>
      <c r="H30" s="326"/>
      <c r="I30" s="326"/>
      <c r="J30" s="326"/>
      <c r="K30" s="326"/>
      <c r="L30" s="326"/>
      <c r="M30" s="326"/>
      <c r="N30" s="326"/>
      <c r="O30" s="326"/>
      <c r="P30" s="326"/>
      <c r="Q30" s="293"/>
      <c r="R30" s="293"/>
      <c r="S30" s="293"/>
      <c r="T30" s="293"/>
      <c r="U30" s="293"/>
      <c r="V30" s="293"/>
      <c r="W30" s="293"/>
      <c r="X30" s="293"/>
      <c r="Y30" s="293"/>
      <c r="Z30" s="293"/>
      <c r="AA30" s="293"/>
      <c r="AB30" s="293"/>
      <c r="AC30" s="293"/>
    </row>
    <row r="31" spans="1:29" ht="24" customHeight="1">
      <c r="A31" s="326"/>
      <c r="B31" s="325"/>
      <c r="C31" s="325"/>
      <c r="D31" s="326"/>
      <c r="E31" s="326"/>
      <c r="F31" s="326"/>
      <c r="G31" s="326"/>
      <c r="H31" s="326"/>
      <c r="I31" s="326"/>
      <c r="J31" s="326"/>
      <c r="K31" s="326"/>
      <c r="L31" s="326"/>
      <c r="M31" s="326"/>
      <c r="N31" s="326"/>
      <c r="O31" s="326"/>
      <c r="P31" s="326"/>
      <c r="Q31" s="293"/>
      <c r="R31" s="293"/>
      <c r="S31" s="293"/>
      <c r="T31" s="293"/>
      <c r="U31" s="293"/>
      <c r="V31" s="293"/>
      <c r="W31" s="293"/>
      <c r="X31" s="293"/>
      <c r="Y31" s="293"/>
      <c r="Z31" s="293"/>
      <c r="AA31" s="293"/>
      <c r="AB31" s="293"/>
      <c r="AC31" s="293"/>
    </row>
  </sheetData>
  <mergeCells count="12">
    <mergeCell ref="L3:M3"/>
    <mergeCell ref="N3:O3"/>
    <mergeCell ref="A1:H1"/>
    <mergeCell ref="I1:O1"/>
    <mergeCell ref="A2:H2"/>
    <mergeCell ref="I2:M2"/>
    <mergeCell ref="N2:O2"/>
    <mergeCell ref="A3:A4"/>
    <mergeCell ref="B3:C3"/>
    <mergeCell ref="D3:E3"/>
    <mergeCell ref="F3:G3"/>
    <mergeCell ref="J3:K3"/>
  </mergeCells>
  <phoneticPr fontId="3" type="noConversion"/>
  <pageMargins left="0.62992125984251968" right="0.19685039370078741" top="0.59055118110236227" bottom="0.28999999999999998" header="0" footer="0"/>
  <pageSetup paperSize="9" scale="95" pageOrder="overThenDown" orientation="portrait" r:id="rId1"/>
  <headerFooter alignWithMargins="0"/>
</worksheet>
</file>

<file path=xl/worksheets/sheet59.xml><?xml version="1.0" encoding="utf-8"?>
<worksheet xmlns="http://schemas.openxmlformats.org/spreadsheetml/2006/main" xmlns:r="http://schemas.openxmlformats.org/officeDocument/2006/relationships">
  <sheetPr>
    <tabColor indexed="46"/>
  </sheetPr>
  <dimension ref="A1:AD43"/>
  <sheetViews>
    <sheetView view="pageBreakPreview" zoomScale="75" zoomScaleNormal="100" zoomScaleSheetLayoutView="75" workbookViewId="0">
      <pane xSplit="1" ySplit="6" topLeftCell="R15" activePane="bottomRight" state="frozen"/>
      <selection activeCell="E20" sqref="E20"/>
      <selection pane="topRight" activeCell="E20" sqref="E20"/>
      <selection pane="bottomLeft" activeCell="E20" sqref="E20"/>
      <selection pane="bottomRight" activeCell="E20" sqref="E20"/>
    </sheetView>
  </sheetViews>
  <sheetFormatPr defaultColWidth="8.625" defaultRowHeight="16.5"/>
  <cols>
    <col min="1" max="1" width="8" customWidth="1"/>
    <col min="2" max="3" width="13.375" customWidth="1"/>
    <col min="4" max="4" width="13.125" customWidth="1"/>
    <col min="5" max="5" width="15.5" customWidth="1"/>
    <col min="6" max="6" width="14.75" customWidth="1"/>
    <col min="7" max="7" width="15.625" customWidth="1"/>
    <col min="8" max="9" width="15.375" customWidth="1"/>
    <col min="10" max="10" width="12.625" customWidth="1"/>
    <col min="11" max="11" width="15.5" bestFit="1" customWidth="1"/>
    <col min="12" max="12" width="14.75" customWidth="1"/>
    <col min="13" max="13" width="15.625" customWidth="1"/>
    <col min="14" max="14" width="8" customWidth="1"/>
    <col min="15" max="16" width="14.125" customWidth="1"/>
    <col min="17" max="17" width="12.625" customWidth="1"/>
    <col min="18" max="18" width="15.5" bestFit="1" customWidth="1"/>
    <col min="19" max="19" width="14.75" customWidth="1"/>
    <col min="20" max="20" width="15.625" customWidth="1"/>
    <col min="21" max="22" width="14.125" customWidth="1"/>
    <col min="23" max="23" width="12.625" customWidth="1"/>
    <col min="24" max="24" width="15.5" bestFit="1" customWidth="1"/>
    <col min="25" max="25" width="14.75" customWidth="1"/>
    <col min="26" max="26" width="15.625" customWidth="1"/>
    <col min="27" max="27" width="8.625" customWidth="1"/>
    <col min="28" max="28" width="17" customWidth="1"/>
    <col min="29" max="29" width="12.625" customWidth="1"/>
    <col min="30" max="30" width="10.875" customWidth="1"/>
  </cols>
  <sheetData>
    <row r="1" spans="1:30" s="364" customFormat="1" ht="30.2" customHeight="1">
      <c r="A1" s="1148" t="s">
        <v>644</v>
      </c>
      <c r="B1" s="1148"/>
      <c r="C1" s="1148"/>
      <c r="D1" s="1148"/>
      <c r="E1" s="1148"/>
      <c r="F1" s="1148"/>
      <c r="G1" s="1148"/>
      <c r="H1" s="362" t="s">
        <v>645</v>
      </c>
      <c r="I1" s="363"/>
      <c r="J1" s="363"/>
      <c r="K1" s="363"/>
      <c r="L1" s="363"/>
      <c r="M1" s="363"/>
      <c r="N1" s="363"/>
      <c r="O1" s="1148" t="s">
        <v>644</v>
      </c>
      <c r="P1" s="1148"/>
      <c r="Q1" s="1148"/>
      <c r="R1" s="1148"/>
      <c r="S1" s="1148"/>
      <c r="T1" s="1148"/>
      <c r="U1" s="362" t="s">
        <v>646</v>
      </c>
      <c r="V1" s="362"/>
      <c r="W1" s="362"/>
      <c r="X1" s="362"/>
      <c r="Y1" s="362"/>
      <c r="Z1" s="362"/>
    </row>
    <row r="2" spans="1:30" s="368" customFormat="1" ht="30.2" customHeight="1">
      <c r="A2" s="1117" t="s">
        <v>987</v>
      </c>
      <c r="B2" s="1117"/>
      <c r="C2" s="1117"/>
      <c r="D2" s="1117"/>
      <c r="E2" s="1117"/>
      <c r="F2" s="1117"/>
      <c r="G2" s="1117"/>
      <c r="H2" s="365" t="s">
        <v>988</v>
      </c>
      <c r="I2" s="366"/>
      <c r="J2" s="366"/>
      <c r="K2" s="366"/>
      <c r="L2" s="366"/>
      <c r="M2" s="367" t="s">
        <v>65</v>
      </c>
      <c r="N2" s="366"/>
      <c r="O2" s="1117" t="s">
        <v>647</v>
      </c>
      <c r="P2" s="1117"/>
      <c r="Q2" s="1117"/>
      <c r="R2" s="1117"/>
      <c r="S2" s="1117"/>
      <c r="T2" s="1117"/>
      <c r="U2" s="365" t="s">
        <v>395</v>
      </c>
      <c r="X2" s="369"/>
      <c r="Z2" s="367" t="s">
        <v>65</v>
      </c>
    </row>
    <row r="3" spans="1:30" s="368" customFormat="1" ht="25.15" customHeight="1">
      <c r="A3" s="1149" t="s">
        <v>48</v>
      </c>
      <c r="B3" s="1150" t="s">
        <v>86</v>
      </c>
      <c r="C3" s="1151"/>
      <c r="D3" s="1151"/>
      <c r="E3" s="1151"/>
      <c r="F3" s="1151"/>
      <c r="G3" s="1151"/>
      <c r="H3" s="1147" t="s">
        <v>87</v>
      </c>
      <c r="I3" s="1147"/>
      <c r="J3" s="1147"/>
      <c r="K3" s="1147"/>
      <c r="L3" s="1147"/>
      <c r="M3" s="1147"/>
      <c r="N3" s="1149" t="s">
        <v>48</v>
      </c>
      <c r="O3" s="1150" t="s">
        <v>88</v>
      </c>
      <c r="P3" s="1147"/>
      <c r="Q3" s="1147"/>
      <c r="R3" s="1147"/>
      <c r="S3" s="1147"/>
      <c r="T3" s="1147"/>
      <c r="U3" s="1147" t="s">
        <v>89</v>
      </c>
      <c r="V3" s="1147"/>
      <c r="W3" s="1147"/>
      <c r="X3" s="1147"/>
      <c r="Y3" s="1147"/>
      <c r="Z3" s="1147"/>
    </row>
    <row r="4" spans="1:30" s="375" customFormat="1" ht="32.25" customHeight="1">
      <c r="A4" s="1149"/>
      <c r="B4" s="370" t="s">
        <v>648</v>
      </c>
      <c r="C4" s="370" t="s">
        <v>649</v>
      </c>
      <c r="D4" s="371" t="s">
        <v>650</v>
      </c>
      <c r="E4" s="372" t="s">
        <v>651</v>
      </c>
      <c r="F4" s="371" t="s">
        <v>674</v>
      </c>
      <c r="G4" s="373" t="s">
        <v>58</v>
      </c>
      <c r="H4" s="374" t="s">
        <v>648</v>
      </c>
      <c r="I4" s="370" t="s">
        <v>649</v>
      </c>
      <c r="J4" s="371" t="s">
        <v>650</v>
      </c>
      <c r="K4" s="372" t="s">
        <v>651</v>
      </c>
      <c r="L4" s="371" t="s">
        <v>674</v>
      </c>
      <c r="M4" s="373" t="s">
        <v>58</v>
      </c>
      <c r="N4" s="1149"/>
      <c r="O4" s="370" t="s">
        <v>648</v>
      </c>
      <c r="P4" s="370" t="s">
        <v>649</v>
      </c>
      <c r="Q4" s="371" t="s">
        <v>650</v>
      </c>
      <c r="R4" s="372" t="s">
        <v>651</v>
      </c>
      <c r="S4" s="371" t="s">
        <v>674</v>
      </c>
      <c r="T4" s="373" t="s">
        <v>58</v>
      </c>
      <c r="U4" s="374" t="s">
        <v>648</v>
      </c>
      <c r="V4" s="370" t="s">
        <v>649</v>
      </c>
      <c r="W4" s="371" t="s">
        <v>650</v>
      </c>
      <c r="X4" s="372" t="s">
        <v>651</v>
      </c>
      <c r="Y4" s="371" t="s">
        <v>674</v>
      </c>
      <c r="Z4" s="373" t="s">
        <v>58</v>
      </c>
      <c r="AB4" s="376" t="s">
        <v>61</v>
      </c>
      <c r="AC4" s="376" t="s">
        <v>554</v>
      </c>
      <c r="AD4" s="376" t="s">
        <v>652</v>
      </c>
    </row>
    <row r="5" spans="1:30" s="381" customFormat="1" ht="61.15" hidden="1" customHeight="1">
      <c r="A5" s="169" t="s">
        <v>53</v>
      </c>
      <c r="B5" s="377">
        <v>259629</v>
      </c>
      <c r="C5" s="378">
        <v>14159</v>
      </c>
      <c r="D5" s="378"/>
      <c r="E5" s="378">
        <v>0</v>
      </c>
      <c r="F5" s="379">
        <v>0</v>
      </c>
      <c r="G5" s="379">
        <v>273788</v>
      </c>
      <c r="H5" s="380">
        <v>113949755</v>
      </c>
      <c r="I5" s="379">
        <v>9804080</v>
      </c>
      <c r="J5" s="379"/>
      <c r="K5" s="379">
        <v>0</v>
      </c>
      <c r="L5" s="379">
        <v>0</v>
      </c>
      <c r="M5" s="379">
        <v>123753835</v>
      </c>
      <c r="N5" s="169" t="s">
        <v>53</v>
      </c>
      <c r="O5" s="380">
        <v>78173308</v>
      </c>
      <c r="P5" s="379">
        <v>5868383</v>
      </c>
      <c r="Q5" s="379"/>
      <c r="R5" s="379">
        <v>0</v>
      </c>
      <c r="S5" s="379">
        <v>0</v>
      </c>
      <c r="T5" s="379">
        <v>84041691</v>
      </c>
      <c r="U5" s="380">
        <v>20659404</v>
      </c>
      <c r="V5" s="379">
        <v>1266205</v>
      </c>
      <c r="W5" s="379"/>
      <c r="X5" s="379">
        <v>0</v>
      </c>
      <c r="Y5" s="379">
        <v>0</v>
      </c>
      <c r="Z5" s="379">
        <v>21925609</v>
      </c>
      <c r="AB5" s="382"/>
      <c r="AC5" s="382"/>
      <c r="AD5" s="382"/>
    </row>
    <row r="6" spans="1:30" s="381" customFormat="1" ht="61.15" hidden="1" customHeight="1">
      <c r="A6" s="169" t="s">
        <v>60</v>
      </c>
      <c r="B6" s="383">
        <v>195393</v>
      </c>
      <c r="C6" s="384">
        <v>19375</v>
      </c>
      <c r="D6" s="384"/>
      <c r="E6" s="384">
        <v>0</v>
      </c>
      <c r="F6" s="385">
        <v>0</v>
      </c>
      <c r="G6" s="385">
        <v>214768</v>
      </c>
      <c r="H6" s="386">
        <v>129061580</v>
      </c>
      <c r="I6" s="385">
        <v>12722761</v>
      </c>
      <c r="J6" s="385"/>
      <c r="K6" s="385">
        <v>0</v>
      </c>
      <c r="L6" s="385">
        <v>0</v>
      </c>
      <c r="M6" s="385">
        <v>141784341</v>
      </c>
      <c r="N6" s="169" t="s">
        <v>60</v>
      </c>
      <c r="O6" s="386">
        <v>86372005</v>
      </c>
      <c r="P6" s="385">
        <v>7806776</v>
      </c>
      <c r="Q6" s="385"/>
      <c r="R6" s="385">
        <v>0</v>
      </c>
      <c r="S6" s="385">
        <v>0</v>
      </c>
      <c r="T6" s="385">
        <v>94178781</v>
      </c>
      <c r="U6" s="386">
        <v>22222275</v>
      </c>
      <c r="V6" s="385">
        <v>1782276</v>
      </c>
      <c r="W6" s="385"/>
      <c r="X6" s="385">
        <v>0</v>
      </c>
      <c r="Y6" s="385">
        <v>0</v>
      </c>
      <c r="Z6" s="385">
        <v>24004551</v>
      </c>
      <c r="AB6" s="382"/>
      <c r="AC6" s="382"/>
      <c r="AD6" s="382"/>
    </row>
    <row r="7" spans="1:30" s="381" customFormat="1" ht="61.15" hidden="1" customHeight="1">
      <c r="A7" s="169" t="s">
        <v>54</v>
      </c>
      <c r="B7" s="387">
        <v>117261</v>
      </c>
      <c r="C7" s="388">
        <v>25360</v>
      </c>
      <c r="D7" s="388"/>
      <c r="E7" s="388">
        <v>0</v>
      </c>
      <c r="F7" s="389">
        <v>0</v>
      </c>
      <c r="G7" s="389">
        <f>SUM(B7:F7)</f>
        <v>142621</v>
      </c>
      <c r="H7" s="390">
        <v>145821955</v>
      </c>
      <c r="I7" s="389">
        <v>18410678</v>
      </c>
      <c r="J7" s="389"/>
      <c r="K7" s="389">
        <v>0</v>
      </c>
      <c r="L7" s="389">
        <v>0</v>
      </c>
      <c r="M7" s="389">
        <f>SUM(H7:L7)</f>
        <v>164232633</v>
      </c>
      <c r="N7" s="391" t="s">
        <v>653</v>
      </c>
      <c r="O7" s="390">
        <v>95826211</v>
      </c>
      <c r="P7" s="389">
        <v>11520924</v>
      </c>
      <c r="Q7" s="389"/>
      <c r="R7" s="389">
        <v>0</v>
      </c>
      <c r="S7" s="389">
        <v>0</v>
      </c>
      <c r="T7" s="389">
        <f>SUM(O7:S7)</f>
        <v>107347135</v>
      </c>
      <c r="U7" s="390">
        <v>24334630</v>
      </c>
      <c r="V7" s="389">
        <v>2731770</v>
      </c>
      <c r="W7" s="389"/>
      <c r="X7" s="389">
        <v>0</v>
      </c>
      <c r="Y7" s="389">
        <v>0</v>
      </c>
      <c r="Z7" s="389">
        <f>SUM(U7:Y7)</f>
        <v>27066400</v>
      </c>
      <c r="AB7" s="392">
        <f t="shared" ref="AB7:AB21" si="0">G7+M7+T7+Z7</f>
        <v>298788789</v>
      </c>
      <c r="AC7" s="392">
        <f>'53平衡表-OK '!B8</f>
        <v>298788789</v>
      </c>
      <c r="AD7" s="392">
        <f>AB7-AC7</f>
        <v>0</v>
      </c>
    </row>
    <row r="8" spans="1:30" s="381" customFormat="1" ht="61.15" hidden="1" customHeight="1">
      <c r="A8" s="169" t="s">
        <v>8</v>
      </c>
      <c r="B8" s="387">
        <v>58829</v>
      </c>
      <c r="C8" s="389">
        <v>34775</v>
      </c>
      <c r="D8" s="389"/>
      <c r="E8" s="388">
        <v>0</v>
      </c>
      <c r="F8" s="389">
        <v>1931</v>
      </c>
      <c r="G8" s="389">
        <f>SUM(B8:F8)</f>
        <v>95535</v>
      </c>
      <c r="H8" s="390">
        <v>163598032</v>
      </c>
      <c r="I8" s="390">
        <v>34399051</v>
      </c>
      <c r="J8" s="390"/>
      <c r="K8" s="389">
        <v>0</v>
      </c>
      <c r="L8" s="389">
        <v>3279811</v>
      </c>
      <c r="M8" s="389">
        <f>SUM(H8:L8)</f>
        <v>201276894</v>
      </c>
      <c r="N8" s="391" t="s">
        <v>654</v>
      </c>
      <c r="O8" s="390">
        <v>106199590</v>
      </c>
      <c r="P8" s="389">
        <v>21823528</v>
      </c>
      <c r="Q8" s="389"/>
      <c r="R8" s="389">
        <v>0</v>
      </c>
      <c r="S8" s="390">
        <v>2113448</v>
      </c>
      <c r="T8" s="389">
        <f>SUM(O8:S8)</f>
        <v>130136566</v>
      </c>
      <c r="U8" s="390">
        <v>25830600</v>
      </c>
      <c r="V8" s="389">
        <v>5241347</v>
      </c>
      <c r="W8" s="389"/>
      <c r="X8" s="389">
        <v>0</v>
      </c>
      <c r="Y8" s="389">
        <v>514808</v>
      </c>
      <c r="Z8" s="389">
        <f>SUM(U8:Y8)</f>
        <v>31586755</v>
      </c>
      <c r="AB8" s="392">
        <f t="shared" si="0"/>
        <v>363095750</v>
      </c>
      <c r="AC8" s="392">
        <f>'53平衡表-OK '!B9</f>
        <v>363095751</v>
      </c>
      <c r="AD8" s="392">
        <f t="shared" ref="AD8:AD21" si="1">AB8-AC8</f>
        <v>-1</v>
      </c>
    </row>
    <row r="9" spans="1:30" s="381" customFormat="1" ht="61.15" hidden="1" customHeight="1">
      <c r="A9" s="169" t="s">
        <v>0</v>
      </c>
      <c r="B9" s="387">
        <v>54879</v>
      </c>
      <c r="C9" s="389">
        <v>39527</v>
      </c>
      <c r="D9" s="393" t="s">
        <v>655</v>
      </c>
      <c r="E9" s="393" t="s">
        <v>655</v>
      </c>
      <c r="F9" s="389">
        <v>1273</v>
      </c>
      <c r="G9" s="389">
        <f>SUM(B9:F9)</f>
        <v>95679</v>
      </c>
      <c r="H9" s="390">
        <v>180438708</v>
      </c>
      <c r="I9" s="390">
        <v>46404444</v>
      </c>
      <c r="J9" s="393" t="s">
        <v>655</v>
      </c>
      <c r="K9" s="389">
        <v>0</v>
      </c>
      <c r="L9" s="389">
        <v>1616331</v>
      </c>
      <c r="M9" s="389">
        <f>SUM(H9:L9)</f>
        <v>228459483</v>
      </c>
      <c r="N9" s="391" t="s">
        <v>656</v>
      </c>
      <c r="O9" s="390">
        <v>115860045</v>
      </c>
      <c r="P9" s="389">
        <v>29488092</v>
      </c>
      <c r="Q9" s="393" t="s">
        <v>655</v>
      </c>
      <c r="R9" s="389">
        <v>0</v>
      </c>
      <c r="S9" s="390">
        <v>1051438</v>
      </c>
      <c r="T9" s="389">
        <f>SUM(O9:S9)</f>
        <v>146399575</v>
      </c>
      <c r="U9" s="390">
        <v>27177095</v>
      </c>
      <c r="V9" s="389">
        <v>7041624</v>
      </c>
      <c r="W9" s="393" t="s">
        <v>655</v>
      </c>
      <c r="X9" s="389">
        <v>0</v>
      </c>
      <c r="Y9" s="389">
        <v>265359</v>
      </c>
      <c r="Z9" s="389">
        <f>SUM(U9:Y9)</f>
        <v>34484078</v>
      </c>
      <c r="AB9" s="392">
        <f t="shared" si="0"/>
        <v>409438815</v>
      </c>
      <c r="AC9" s="392" t="e">
        <f>'53平衡表-OK '!#REF!</f>
        <v>#REF!</v>
      </c>
      <c r="AD9" s="392" t="e">
        <f t="shared" si="1"/>
        <v>#REF!</v>
      </c>
    </row>
    <row r="10" spans="1:30" s="381" customFormat="1" ht="61.15" hidden="1" customHeight="1">
      <c r="A10" s="344" t="s">
        <v>632</v>
      </c>
      <c r="B10" s="387">
        <v>55746</v>
      </c>
      <c r="C10" s="389">
        <v>24989</v>
      </c>
      <c r="D10" s="393" t="s">
        <v>655</v>
      </c>
      <c r="E10" s="389">
        <v>35</v>
      </c>
      <c r="F10" s="394">
        <v>-2377</v>
      </c>
      <c r="G10" s="389">
        <f>SUM(B10:F10)</f>
        <v>78393</v>
      </c>
      <c r="H10" s="390">
        <v>196096656</v>
      </c>
      <c r="I10" s="389">
        <v>7766630</v>
      </c>
      <c r="J10" s="393" t="s">
        <v>655</v>
      </c>
      <c r="K10" s="389">
        <v>93789</v>
      </c>
      <c r="L10" s="394">
        <v>-8085360</v>
      </c>
      <c r="M10" s="389">
        <f>SUM(H10:L10)</f>
        <v>195871715</v>
      </c>
      <c r="N10" s="344" t="s">
        <v>632</v>
      </c>
      <c r="O10" s="390">
        <v>124946879</v>
      </c>
      <c r="P10" s="389">
        <v>4974704</v>
      </c>
      <c r="Q10" s="393" t="s">
        <v>655</v>
      </c>
      <c r="R10" s="389">
        <v>59503</v>
      </c>
      <c r="S10" s="394">
        <v>-5103706</v>
      </c>
      <c r="T10" s="389">
        <f>SUM(O10:S10)</f>
        <v>124877380</v>
      </c>
      <c r="U10" s="390">
        <v>28574707</v>
      </c>
      <c r="V10" s="389">
        <v>1430848</v>
      </c>
      <c r="W10" s="393" t="s">
        <v>655</v>
      </c>
      <c r="X10" s="389">
        <v>13620</v>
      </c>
      <c r="Y10" s="394">
        <v>-1143468</v>
      </c>
      <c r="Z10" s="389">
        <f>SUM(U10:Y10)</f>
        <v>28875707</v>
      </c>
      <c r="AB10" s="392">
        <f t="shared" si="0"/>
        <v>349703195</v>
      </c>
      <c r="AC10" s="392">
        <f>'53平衡表-OK '!B10</f>
        <v>349703195</v>
      </c>
      <c r="AD10" s="392">
        <f t="shared" si="1"/>
        <v>0</v>
      </c>
    </row>
    <row r="11" spans="1:30" s="381" customFormat="1" ht="61.15" hidden="1" customHeight="1">
      <c r="A11" s="344" t="s">
        <v>657</v>
      </c>
      <c r="B11" s="387">
        <v>22787</v>
      </c>
      <c r="C11" s="389">
        <v>34898</v>
      </c>
      <c r="D11" s="393" t="s">
        <v>655</v>
      </c>
      <c r="E11" s="389">
        <v>302</v>
      </c>
      <c r="F11" s="394">
        <v>-695</v>
      </c>
      <c r="G11" s="389">
        <f t="shared" ref="G11:G15" si="2">SUM(B11:F11)</f>
        <v>57292</v>
      </c>
      <c r="H11" s="390">
        <v>210939715</v>
      </c>
      <c r="I11" s="389">
        <v>44591481</v>
      </c>
      <c r="J11" s="393" t="s">
        <v>655</v>
      </c>
      <c r="K11" s="389">
        <v>1086050</v>
      </c>
      <c r="L11" s="394">
        <v>-1835212</v>
      </c>
      <c r="M11" s="389">
        <f t="shared" ref="M11:M21" si="3">SUM(H11:L11)</f>
        <v>254782034</v>
      </c>
      <c r="N11" s="391" t="s">
        <v>658</v>
      </c>
      <c r="O11" s="390">
        <v>132833171</v>
      </c>
      <c r="P11" s="389">
        <v>28097212</v>
      </c>
      <c r="Q11" s="393" t="s">
        <v>655</v>
      </c>
      <c r="R11" s="389">
        <v>682549</v>
      </c>
      <c r="S11" s="394">
        <v>-1179207</v>
      </c>
      <c r="T11" s="389">
        <f t="shared" ref="T11:T15" si="4">SUM(O11:S11)</f>
        <v>160433725</v>
      </c>
      <c r="U11" s="390">
        <v>30631138</v>
      </c>
      <c r="V11" s="389">
        <v>6698960</v>
      </c>
      <c r="W11" s="393" t="s">
        <v>655</v>
      </c>
      <c r="X11" s="389">
        <v>155571</v>
      </c>
      <c r="Y11" s="394">
        <v>-249330</v>
      </c>
      <c r="Z11" s="389">
        <f t="shared" ref="Z11:Z15" si="5">SUM(U11:Y11)</f>
        <v>37236339</v>
      </c>
      <c r="AB11" s="392">
        <f t="shared" si="0"/>
        <v>452509390</v>
      </c>
      <c r="AC11" s="392">
        <f>'53平衡表-OK '!B11</f>
        <v>452509391</v>
      </c>
      <c r="AD11" s="392">
        <f t="shared" si="1"/>
        <v>-1</v>
      </c>
    </row>
    <row r="12" spans="1:30" s="381" customFormat="1" ht="61.15" customHeight="1">
      <c r="A12" s="344" t="s">
        <v>634</v>
      </c>
      <c r="B12" s="389">
        <v>26176</v>
      </c>
      <c r="C12" s="389">
        <v>37351</v>
      </c>
      <c r="D12" s="393" t="s">
        <v>655</v>
      </c>
      <c r="E12" s="389">
        <v>758</v>
      </c>
      <c r="F12" s="394">
        <v>-451</v>
      </c>
      <c r="G12" s="389">
        <f t="shared" si="2"/>
        <v>63834</v>
      </c>
      <c r="H12" s="390">
        <v>224346592</v>
      </c>
      <c r="I12" s="389">
        <v>52948287</v>
      </c>
      <c r="J12" s="393" t="s">
        <v>655</v>
      </c>
      <c r="K12" s="389">
        <v>2668808</v>
      </c>
      <c r="L12" s="394">
        <v>-1000705</v>
      </c>
      <c r="M12" s="389">
        <f t="shared" si="3"/>
        <v>278962982</v>
      </c>
      <c r="N12" s="344" t="s">
        <v>634</v>
      </c>
      <c r="O12" s="390">
        <v>139512694</v>
      </c>
      <c r="P12" s="389">
        <v>33295302</v>
      </c>
      <c r="Q12" s="393" t="s">
        <v>655</v>
      </c>
      <c r="R12" s="389">
        <v>1665653</v>
      </c>
      <c r="S12" s="394">
        <v>-660246</v>
      </c>
      <c r="T12" s="389">
        <f t="shared" si="4"/>
        <v>173813403</v>
      </c>
      <c r="U12" s="390">
        <v>31802219</v>
      </c>
      <c r="V12" s="389">
        <v>7883740</v>
      </c>
      <c r="W12" s="393" t="s">
        <v>655</v>
      </c>
      <c r="X12" s="389">
        <v>379577</v>
      </c>
      <c r="Y12" s="394">
        <v>-131052</v>
      </c>
      <c r="Z12" s="389">
        <f t="shared" si="5"/>
        <v>39934484</v>
      </c>
      <c r="AB12" s="392">
        <f t="shared" si="0"/>
        <v>492774703</v>
      </c>
      <c r="AC12" s="392">
        <f>'53平衡表-OK '!B12</f>
        <v>492774703</v>
      </c>
      <c r="AD12" s="392">
        <f t="shared" si="1"/>
        <v>0</v>
      </c>
    </row>
    <row r="13" spans="1:30" s="381" customFormat="1" ht="61.15" customHeight="1">
      <c r="A13" s="344" t="s">
        <v>635</v>
      </c>
      <c r="B13" s="389">
        <v>19587</v>
      </c>
      <c r="C13" s="389">
        <v>34937</v>
      </c>
      <c r="D13" s="393" t="s">
        <v>655</v>
      </c>
      <c r="E13" s="389">
        <v>732</v>
      </c>
      <c r="F13" s="394">
        <v>-1027</v>
      </c>
      <c r="G13" s="389">
        <f t="shared" si="2"/>
        <v>54229</v>
      </c>
      <c r="H13" s="390">
        <v>234893830</v>
      </c>
      <c r="I13" s="389">
        <v>39923290</v>
      </c>
      <c r="J13" s="393" t="s">
        <v>655</v>
      </c>
      <c r="K13" s="389">
        <v>2574523</v>
      </c>
      <c r="L13" s="394">
        <v>-4094386</v>
      </c>
      <c r="M13" s="389">
        <f t="shared" si="3"/>
        <v>273297257</v>
      </c>
      <c r="N13" s="344" t="s">
        <v>635</v>
      </c>
      <c r="O13" s="390">
        <v>144715526</v>
      </c>
      <c r="P13" s="389">
        <v>25269307</v>
      </c>
      <c r="Q13" s="393" t="s">
        <v>655</v>
      </c>
      <c r="R13" s="389">
        <v>1606451</v>
      </c>
      <c r="S13" s="394">
        <v>-2566830</v>
      </c>
      <c r="T13" s="389">
        <f t="shared" si="4"/>
        <v>169024454</v>
      </c>
      <c r="U13" s="390">
        <v>31132448</v>
      </c>
      <c r="V13" s="389">
        <v>6108272</v>
      </c>
      <c r="W13" s="393" t="s">
        <v>655</v>
      </c>
      <c r="X13" s="389">
        <v>366089</v>
      </c>
      <c r="Y13" s="394">
        <v>-552908</v>
      </c>
      <c r="Z13" s="389">
        <f t="shared" si="5"/>
        <v>37053901</v>
      </c>
      <c r="AB13" s="392">
        <f t="shared" si="0"/>
        <v>479429841</v>
      </c>
      <c r="AC13" s="392">
        <f>'53平衡表-OK '!B13</f>
        <v>479429841</v>
      </c>
      <c r="AD13" s="392">
        <f t="shared" si="1"/>
        <v>0</v>
      </c>
    </row>
    <row r="14" spans="1:30" s="381" customFormat="1" ht="61.15" customHeight="1">
      <c r="A14" s="344" t="s">
        <v>636</v>
      </c>
      <c r="B14" s="389">
        <v>20236</v>
      </c>
      <c r="C14" s="389">
        <v>38504</v>
      </c>
      <c r="D14" s="393" t="s">
        <v>655</v>
      </c>
      <c r="E14" s="389">
        <v>707</v>
      </c>
      <c r="F14" s="394">
        <v>-607</v>
      </c>
      <c r="G14" s="389">
        <f t="shared" si="2"/>
        <v>58840</v>
      </c>
      <c r="H14" s="390">
        <v>242296532</v>
      </c>
      <c r="I14" s="389">
        <v>55360491</v>
      </c>
      <c r="J14" s="393" t="s">
        <v>655</v>
      </c>
      <c r="K14" s="389">
        <v>2480239</v>
      </c>
      <c r="L14" s="394">
        <v>-2277829</v>
      </c>
      <c r="M14" s="389">
        <f t="shared" si="3"/>
        <v>297859433</v>
      </c>
      <c r="N14" s="344" t="s">
        <v>636</v>
      </c>
      <c r="O14" s="395">
        <v>147971774</v>
      </c>
      <c r="P14" s="389">
        <v>34709270</v>
      </c>
      <c r="Q14" s="393" t="s">
        <v>655</v>
      </c>
      <c r="R14" s="389">
        <v>1547249</v>
      </c>
      <c r="S14" s="394">
        <v>-1456175</v>
      </c>
      <c r="T14" s="389">
        <f t="shared" si="4"/>
        <v>182772118</v>
      </c>
      <c r="U14" s="390">
        <v>29371631</v>
      </c>
      <c r="V14" s="389">
        <v>8051214</v>
      </c>
      <c r="W14" s="393" t="s">
        <v>655</v>
      </c>
      <c r="X14" s="389">
        <v>352601</v>
      </c>
      <c r="Y14" s="394">
        <v>-324466</v>
      </c>
      <c r="Z14" s="389">
        <f t="shared" si="5"/>
        <v>37450980</v>
      </c>
      <c r="AB14" s="392">
        <f t="shared" si="0"/>
        <v>518141371</v>
      </c>
      <c r="AC14" s="392">
        <f>'53平衡表-OK '!B14</f>
        <v>518141371</v>
      </c>
      <c r="AD14" s="392">
        <f t="shared" si="1"/>
        <v>0</v>
      </c>
    </row>
    <row r="15" spans="1:30" s="381" customFormat="1" ht="61.15" customHeight="1">
      <c r="A15" s="344" t="s">
        <v>637</v>
      </c>
      <c r="B15" s="396">
        <v>16272</v>
      </c>
      <c r="C15" s="397">
        <v>43973</v>
      </c>
      <c r="D15" s="393" t="s">
        <v>655</v>
      </c>
      <c r="E15" s="397">
        <v>594</v>
      </c>
      <c r="F15" s="397">
        <v>-318</v>
      </c>
      <c r="G15" s="398">
        <f t="shared" si="2"/>
        <v>60521</v>
      </c>
      <c r="H15" s="397">
        <v>246507595</v>
      </c>
      <c r="I15" s="397">
        <v>79387157</v>
      </c>
      <c r="J15" s="393" t="s">
        <v>655</v>
      </c>
      <c r="K15" s="397">
        <v>2062451</v>
      </c>
      <c r="L15" s="397">
        <v>-1004468</v>
      </c>
      <c r="M15" s="398">
        <f t="shared" si="3"/>
        <v>326952735</v>
      </c>
      <c r="N15" s="344" t="s">
        <v>673</v>
      </c>
      <c r="O15" s="396">
        <v>149253703</v>
      </c>
      <c r="P15" s="397">
        <v>49301021</v>
      </c>
      <c r="Q15" s="393" t="s">
        <v>655</v>
      </c>
      <c r="R15" s="397">
        <v>1284918</v>
      </c>
      <c r="S15" s="397">
        <v>-683308</v>
      </c>
      <c r="T15" s="398">
        <f t="shared" si="4"/>
        <v>199156334</v>
      </c>
      <c r="U15" s="397">
        <v>25404902</v>
      </c>
      <c r="V15" s="397">
        <v>10763168</v>
      </c>
      <c r="W15" s="393" t="s">
        <v>655</v>
      </c>
      <c r="X15" s="397">
        <v>292832</v>
      </c>
      <c r="Y15" s="397">
        <v>-181419</v>
      </c>
      <c r="Z15" s="398">
        <f t="shared" si="5"/>
        <v>36279483</v>
      </c>
      <c r="AB15" s="392">
        <f t="shared" si="0"/>
        <v>562449073</v>
      </c>
      <c r="AC15" s="392">
        <f>'53平衡表-OK '!B15</f>
        <v>562449073</v>
      </c>
      <c r="AD15" s="392">
        <f t="shared" si="1"/>
        <v>0</v>
      </c>
    </row>
    <row r="16" spans="1:30" s="399" customFormat="1" ht="61.15" customHeight="1">
      <c r="A16" s="344" t="s">
        <v>638</v>
      </c>
      <c r="B16" s="396">
        <v>12662</v>
      </c>
      <c r="C16" s="397">
        <v>48414</v>
      </c>
      <c r="D16" s="393" t="s">
        <v>655</v>
      </c>
      <c r="E16" s="397">
        <v>481</v>
      </c>
      <c r="F16" s="397">
        <v>-48</v>
      </c>
      <c r="G16" s="398">
        <f>SUM(B16:F16)</f>
        <v>61509</v>
      </c>
      <c r="H16" s="397">
        <v>247489879</v>
      </c>
      <c r="I16" s="397">
        <v>99543073</v>
      </c>
      <c r="J16" s="393" t="s">
        <v>655</v>
      </c>
      <c r="K16" s="397">
        <v>1644530</v>
      </c>
      <c r="L16" s="397">
        <v>230142</v>
      </c>
      <c r="M16" s="398">
        <f>SUM(H16:L16)</f>
        <v>348907624</v>
      </c>
      <c r="N16" s="344" t="s">
        <v>638</v>
      </c>
      <c r="O16" s="396">
        <v>148784675</v>
      </c>
      <c r="P16" s="397">
        <v>61467004</v>
      </c>
      <c r="Q16" s="393" t="s">
        <v>655</v>
      </c>
      <c r="R16" s="397">
        <v>1022697</v>
      </c>
      <c r="S16" s="397">
        <v>61271</v>
      </c>
      <c r="T16" s="398">
        <f>SUM(O16:S16)</f>
        <v>211335647</v>
      </c>
      <c r="U16" s="397">
        <v>21531559</v>
      </c>
      <c r="V16" s="397">
        <v>12760330</v>
      </c>
      <c r="W16" s="393" t="s">
        <v>655</v>
      </c>
      <c r="X16" s="397">
        <v>233088</v>
      </c>
      <c r="Y16" s="397">
        <v>-60234</v>
      </c>
      <c r="Z16" s="398">
        <f>SUM(U16:Y16)</f>
        <v>34464743</v>
      </c>
      <c r="AB16" s="392">
        <f t="shared" si="0"/>
        <v>594769523</v>
      </c>
      <c r="AC16" s="392">
        <f>'53平衡表-OK '!B16</f>
        <v>594769523</v>
      </c>
      <c r="AD16" s="392">
        <f>AB16-AC16</f>
        <v>0</v>
      </c>
    </row>
    <row r="17" spans="1:30" s="399" customFormat="1" ht="61.15" customHeight="1">
      <c r="A17" s="344" t="s">
        <v>659</v>
      </c>
      <c r="B17" s="396">
        <v>9134</v>
      </c>
      <c r="C17" s="397">
        <v>47806</v>
      </c>
      <c r="D17" s="397">
        <v>24</v>
      </c>
      <c r="E17" s="393" t="s">
        <v>655</v>
      </c>
      <c r="F17" s="397">
        <v>-287</v>
      </c>
      <c r="G17" s="400">
        <f>SUM(B17:F17)</f>
        <v>56677</v>
      </c>
      <c r="H17" s="397">
        <v>244762339</v>
      </c>
      <c r="I17" s="397">
        <v>95901780</v>
      </c>
      <c r="J17" s="397">
        <v>115560</v>
      </c>
      <c r="K17" s="393" t="s">
        <v>655</v>
      </c>
      <c r="L17" s="397">
        <v>-929837</v>
      </c>
      <c r="M17" s="400">
        <f>SUM(H17:L17)</f>
        <v>339849842</v>
      </c>
      <c r="N17" s="344" t="s">
        <v>659</v>
      </c>
      <c r="O17" s="396">
        <v>145870414</v>
      </c>
      <c r="P17" s="397">
        <v>59318943</v>
      </c>
      <c r="Q17" s="397">
        <v>68743</v>
      </c>
      <c r="R17" s="393" t="s">
        <v>655</v>
      </c>
      <c r="S17" s="397">
        <v>-634555</v>
      </c>
      <c r="T17" s="400">
        <f>SUM(O17:S17)</f>
        <v>204623545</v>
      </c>
      <c r="U17" s="397">
        <v>16871680</v>
      </c>
      <c r="V17" s="397">
        <v>12539894</v>
      </c>
      <c r="W17" s="397">
        <v>8181</v>
      </c>
      <c r="X17" s="393" t="s">
        <v>655</v>
      </c>
      <c r="Y17" s="397">
        <v>-159760</v>
      </c>
      <c r="Z17" s="400">
        <f>SUM(U17:Y17)</f>
        <v>29259995</v>
      </c>
      <c r="AB17" s="401">
        <f t="shared" si="0"/>
        <v>573790059</v>
      </c>
      <c r="AC17" s="401">
        <f>'53平衡表-OK '!B17</f>
        <v>573790059</v>
      </c>
      <c r="AD17" s="401">
        <f>AB17-AC17</f>
        <v>0</v>
      </c>
    </row>
    <row r="18" spans="1:30" s="399" customFormat="1" ht="61.15" customHeight="1">
      <c r="A18" s="344" t="s">
        <v>660</v>
      </c>
      <c r="B18" s="396">
        <v>5791</v>
      </c>
      <c r="C18" s="397">
        <f>50540+24</f>
        <v>50564</v>
      </c>
      <c r="D18" s="402" t="s">
        <v>498</v>
      </c>
      <c r="E18" s="393" t="s">
        <v>498</v>
      </c>
      <c r="F18" s="397">
        <v>-126</v>
      </c>
      <c r="G18" s="400">
        <f t="shared" ref="G18:G19" si="6">SUM(B18:F18)</f>
        <v>56229</v>
      </c>
      <c r="H18" s="397">
        <v>237849039</v>
      </c>
      <c r="I18" s="397">
        <f>109344020+115560</f>
        <v>109459580</v>
      </c>
      <c r="J18" s="402" t="s">
        <v>498</v>
      </c>
      <c r="K18" s="393" t="s">
        <v>498</v>
      </c>
      <c r="L18" s="397">
        <v>-140644</v>
      </c>
      <c r="M18" s="400">
        <f t="shared" ref="M18" si="7">SUM(H18:L18)</f>
        <v>347167975</v>
      </c>
      <c r="N18" s="344" t="s">
        <v>660</v>
      </c>
      <c r="O18" s="396">
        <v>139896032</v>
      </c>
      <c r="P18" s="397">
        <f>67315321+68743</f>
        <v>67384064</v>
      </c>
      <c r="Q18" s="402" t="s">
        <v>498</v>
      </c>
      <c r="R18" s="393" t="s">
        <v>498</v>
      </c>
      <c r="S18" s="397">
        <v>-165087</v>
      </c>
      <c r="T18" s="400">
        <f t="shared" ref="T18" si="8">SUM(O18:S18)</f>
        <v>207115009</v>
      </c>
      <c r="U18" s="397">
        <v>10785818</v>
      </c>
      <c r="V18" s="397">
        <f>13491530+8181</f>
        <v>13499711</v>
      </c>
      <c r="W18" s="402" t="s">
        <v>498</v>
      </c>
      <c r="X18" s="393" t="s">
        <v>498</v>
      </c>
      <c r="Y18" s="397">
        <v>-103889</v>
      </c>
      <c r="Z18" s="400">
        <f t="shared" ref="Z18" si="9">SUM(U18:Y18)</f>
        <v>24181640</v>
      </c>
      <c r="AB18" s="401">
        <f t="shared" si="0"/>
        <v>578520853</v>
      </c>
      <c r="AC18" s="401">
        <f>'53平衡表-OK '!B18</f>
        <v>578520853</v>
      </c>
      <c r="AD18" s="401">
        <f t="shared" ref="AD18:AD20" si="10">AB18-AC18</f>
        <v>0</v>
      </c>
    </row>
    <row r="19" spans="1:30" s="399" customFormat="1" ht="61.15" customHeight="1">
      <c r="A19" s="344" t="s">
        <v>661</v>
      </c>
      <c r="B19" s="396">
        <v>11051</v>
      </c>
      <c r="C19" s="397">
        <v>55483</v>
      </c>
      <c r="D19" s="393" t="s">
        <v>498</v>
      </c>
      <c r="E19" s="393" t="s">
        <v>498</v>
      </c>
      <c r="F19" s="397">
        <v>209</v>
      </c>
      <c r="G19" s="398">
        <f t="shared" si="6"/>
        <v>66743</v>
      </c>
      <c r="H19" s="397">
        <v>227735817</v>
      </c>
      <c r="I19" s="397">
        <v>132162052</v>
      </c>
      <c r="J19" s="393" t="s">
        <v>498</v>
      </c>
      <c r="K19" s="393" t="s">
        <v>498</v>
      </c>
      <c r="L19" s="397">
        <v>1406104</v>
      </c>
      <c r="M19" s="398">
        <f t="shared" ref="M19:M20" si="11">SUM(H19:L19)</f>
        <v>361303973</v>
      </c>
      <c r="N19" s="344" t="s">
        <v>661</v>
      </c>
      <c r="O19" s="396">
        <v>130734454</v>
      </c>
      <c r="P19" s="397">
        <v>80697573</v>
      </c>
      <c r="Q19" s="393" t="s">
        <v>498</v>
      </c>
      <c r="R19" s="393" t="s">
        <v>498</v>
      </c>
      <c r="S19" s="397">
        <v>741978</v>
      </c>
      <c r="T19" s="398">
        <f t="shared" ref="T19" si="12">SUM(O19:S19)</f>
        <v>212174005</v>
      </c>
      <c r="U19" s="397">
        <v>3153773</v>
      </c>
      <c r="V19" s="397">
        <v>14659629</v>
      </c>
      <c r="W19" s="393" t="s">
        <v>498</v>
      </c>
      <c r="X19" s="393" t="s">
        <v>498</v>
      </c>
      <c r="Y19" s="397">
        <v>-24863</v>
      </c>
      <c r="Z19" s="398">
        <f t="shared" ref="Z19" si="13">SUM(U19:Y19)</f>
        <v>17788539</v>
      </c>
      <c r="AB19" s="392">
        <f t="shared" si="0"/>
        <v>591333260</v>
      </c>
      <c r="AC19" s="392">
        <f>'53平衡表-OK '!B19</f>
        <v>591333260</v>
      </c>
      <c r="AD19" s="392">
        <f t="shared" si="10"/>
        <v>0</v>
      </c>
    </row>
    <row r="20" spans="1:30" s="399" customFormat="1" ht="61.15" customHeight="1">
      <c r="A20" s="344" t="s">
        <v>662</v>
      </c>
      <c r="B20" s="396">
        <v>10098</v>
      </c>
      <c r="C20" s="397">
        <v>54629</v>
      </c>
      <c r="D20" s="393" t="s">
        <v>498</v>
      </c>
      <c r="E20" s="393" t="s">
        <v>498</v>
      </c>
      <c r="F20" s="397">
        <v>81</v>
      </c>
      <c r="G20" s="398">
        <f>SUM(B20:F20)+1</f>
        <v>64809</v>
      </c>
      <c r="H20" s="397">
        <v>214998489</v>
      </c>
      <c r="I20" s="397">
        <v>128662647</v>
      </c>
      <c r="J20" s="393" t="s">
        <v>498</v>
      </c>
      <c r="K20" s="393" t="s">
        <v>498</v>
      </c>
      <c r="L20" s="397">
        <v>882668</v>
      </c>
      <c r="M20" s="398">
        <f t="shared" si="11"/>
        <v>344543804</v>
      </c>
      <c r="N20" s="344" t="s">
        <v>662</v>
      </c>
      <c r="O20" s="396">
        <v>119243466</v>
      </c>
      <c r="P20" s="397">
        <v>78662420</v>
      </c>
      <c r="Q20" s="393" t="s">
        <v>498</v>
      </c>
      <c r="R20" s="393" t="s">
        <v>498</v>
      </c>
      <c r="S20" s="397">
        <v>437563</v>
      </c>
      <c r="T20" s="398">
        <f>SUM(O20:S20)-1</f>
        <v>198343448</v>
      </c>
      <c r="U20" s="397">
        <v>2760774</v>
      </c>
      <c r="V20" s="397">
        <v>14508537</v>
      </c>
      <c r="W20" s="393" t="s">
        <v>498</v>
      </c>
      <c r="X20" s="393" t="s">
        <v>498</v>
      </c>
      <c r="Y20" s="397">
        <v>-47463</v>
      </c>
      <c r="Z20" s="398">
        <f>SUM(U20:Y20)+1</f>
        <v>17221849</v>
      </c>
      <c r="AB20" s="392">
        <f t="shared" si="0"/>
        <v>560173910</v>
      </c>
      <c r="AC20" s="392">
        <f>'53平衡表-OK '!B20</f>
        <v>560173910</v>
      </c>
      <c r="AD20" s="392">
        <f t="shared" si="10"/>
        <v>0</v>
      </c>
    </row>
    <row r="21" spans="1:30" s="399" customFormat="1" ht="61.15" customHeight="1">
      <c r="A21" s="352" t="s">
        <v>663</v>
      </c>
      <c r="B21" s="411">
        <v>9531</v>
      </c>
      <c r="C21" s="412">
        <v>63551</v>
      </c>
      <c r="D21" s="412" t="s">
        <v>498</v>
      </c>
      <c r="E21" s="412" t="s">
        <v>498</v>
      </c>
      <c r="F21" s="412">
        <v>508</v>
      </c>
      <c r="G21" s="412">
        <f>SUM(B21:F21)</f>
        <v>73590</v>
      </c>
      <c r="H21" s="412">
        <v>201472878</v>
      </c>
      <c r="I21" s="412">
        <v>164220092</v>
      </c>
      <c r="J21" s="412" t="s">
        <v>498</v>
      </c>
      <c r="K21" s="412" t="s">
        <v>498</v>
      </c>
      <c r="L21" s="412">
        <v>2582323</v>
      </c>
      <c r="M21" s="412">
        <f t="shared" si="3"/>
        <v>368275293</v>
      </c>
      <c r="N21" s="352" t="s">
        <v>663</v>
      </c>
      <c r="O21" s="412">
        <v>105993154</v>
      </c>
      <c r="P21" s="412">
        <v>98837013</v>
      </c>
      <c r="Q21" s="412" t="s">
        <v>498</v>
      </c>
      <c r="R21" s="412" t="s">
        <v>498</v>
      </c>
      <c r="S21" s="412">
        <v>1401914</v>
      </c>
      <c r="T21" s="412">
        <f>SUM(O21:S21)-1</f>
        <v>206232080</v>
      </c>
      <c r="U21" s="412">
        <v>13076066</v>
      </c>
      <c r="V21" s="412">
        <v>17234030</v>
      </c>
      <c r="W21" s="412" t="s">
        <v>498</v>
      </c>
      <c r="X21" s="412" t="s">
        <v>498</v>
      </c>
      <c r="Y21" s="412">
        <v>82816</v>
      </c>
      <c r="Z21" s="412">
        <f>SUM(U21:Y21)+1</f>
        <v>30392913</v>
      </c>
      <c r="AB21" s="392">
        <f t="shared" si="0"/>
        <v>604973876</v>
      </c>
      <c r="AC21" s="392">
        <f>'53平衡表-OK '!B21</f>
        <v>604973875</v>
      </c>
      <c r="AD21" s="392">
        <f t="shared" si="1"/>
        <v>1</v>
      </c>
    </row>
    <row r="22" spans="1:30" s="403" customFormat="1" ht="15.75">
      <c r="A22" s="403" t="s">
        <v>664</v>
      </c>
      <c r="E22" s="404"/>
    </row>
    <row r="23" spans="1:30" s="403" customFormat="1" ht="15.75">
      <c r="A23" s="318" t="s">
        <v>665</v>
      </c>
      <c r="E23" s="404"/>
    </row>
    <row r="24" spans="1:30" s="403" customFormat="1" ht="15.75">
      <c r="A24" s="318" t="s">
        <v>666</v>
      </c>
      <c r="E24" s="404"/>
    </row>
    <row r="25" spans="1:30" s="403" customFormat="1" ht="15.75">
      <c r="A25" s="318" t="s">
        <v>667</v>
      </c>
    </row>
    <row r="26" spans="1:30" s="403" customFormat="1" ht="15.75">
      <c r="A26" s="318" t="s">
        <v>668</v>
      </c>
    </row>
    <row r="27" spans="1:30">
      <c r="A27" s="61"/>
      <c r="B27" s="405">
        <f>B21+H21+O21+U21-('55收支表-1'!M16-'55收支表-1'!P16)</f>
        <v>0</v>
      </c>
      <c r="C27" s="406">
        <f>C21+I21+P21+V21-('55收支表-1'!N16-'55收支表-1'!Q16)-'55收支表-1'!K16-192508</f>
        <v>-2</v>
      </c>
      <c r="D27" s="407"/>
      <c r="E27" s="407" t="s">
        <v>763</v>
      </c>
      <c r="F27" s="405">
        <f>F21-F20+L21-L20+S21-S20+Y21-Y20</f>
        <v>2794712</v>
      </c>
      <c r="G27" s="407"/>
      <c r="H27" s="407"/>
      <c r="I27" s="407"/>
      <c r="J27" s="407"/>
      <c r="K27" s="407"/>
      <c r="L27" s="407"/>
      <c r="M27" s="407"/>
      <c r="O27" s="407"/>
      <c r="P27" s="407"/>
      <c r="Q27" s="407"/>
      <c r="R27" s="407"/>
      <c r="S27" s="407"/>
      <c r="T27" s="407"/>
      <c r="U27" s="407"/>
      <c r="V27" s="407"/>
      <c r="W27" s="407"/>
      <c r="X27" s="407"/>
      <c r="Y27" s="407"/>
      <c r="Z27" s="407"/>
    </row>
    <row r="28" spans="1:30">
      <c r="A28" s="61" t="s">
        <v>423</v>
      </c>
      <c r="B28" s="408">
        <f>SUM(B12:Z20)-SUM('[2]57委託人權益-OK'!$B$12:$Z$20)</f>
        <v>0</v>
      </c>
      <c r="C28" s="406">
        <f>C21+I21+P21+V21-'[12]85-10812孳息分配(已實現)(含國庫撥補)，先做'!$G$225/1000</f>
        <v>0.26700001955032349</v>
      </c>
      <c r="D28" s="407"/>
      <c r="E28" s="407"/>
      <c r="F28" s="407"/>
      <c r="G28" s="407"/>
      <c r="H28" s="407"/>
      <c r="I28" s="407"/>
      <c r="J28" s="407"/>
      <c r="K28" s="407"/>
      <c r="L28" s="407"/>
      <c r="M28" s="407"/>
      <c r="O28" s="407"/>
      <c r="P28" s="407"/>
      <c r="Q28" s="407"/>
      <c r="R28" s="407"/>
      <c r="S28" s="407"/>
      <c r="T28" s="407"/>
      <c r="U28" s="407"/>
      <c r="V28" s="407"/>
      <c r="W28" s="407"/>
      <c r="X28" s="407"/>
      <c r="Y28" s="407"/>
      <c r="Z28" s="407"/>
    </row>
    <row r="29" spans="1:30">
      <c r="B29" s="407"/>
      <c r="C29" s="407"/>
      <c r="D29" s="407"/>
      <c r="E29" s="407"/>
      <c r="F29" s="407"/>
      <c r="G29" s="407"/>
      <c r="H29" s="407"/>
      <c r="I29" s="407"/>
      <c r="J29" s="407"/>
      <c r="K29" s="407"/>
      <c r="L29" s="407"/>
      <c r="M29" s="407"/>
      <c r="O29" s="407"/>
      <c r="P29" s="407"/>
      <c r="Q29" s="407"/>
      <c r="R29" s="407"/>
      <c r="S29" s="407"/>
      <c r="T29" s="407"/>
      <c r="U29" s="407"/>
      <c r="V29" s="407"/>
      <c r="W29" s="407"/>
      <c r="X29" s="407"/>
      <c r="Y29" s="407"/>
      <c r="Z29" s="407"/>
    </row>
    <row r="30" spans="1:30">
      <c r="B30" s="407"/>
      <c r="C30" s="407"/>
      <c r="D30" s="407"/>
      <c r="E30" s="407"/>
      <c r="F30" s="407"/>
      <c r="G30" s="407"/>
      <c r="H30" s="407"/>
      <c r="I30" s="407"/>
      <c r="J30" s="407"/>
      <c r="K30" s="407"/>
      <c r="L30" s="407"/>
      <c r="M30" s="407"/>
      <c r="O30" s="407"/>
      <c r="P30" s="407"/>
      <c r="Q30" s="407"/>
      <c r="R30" s="407"/>
      <c r="S30" s="407"/>
      <c r="T30" s="407"/>
      <c r="U30" s="407"/>
      <c r="V30" s="407"/>
      <c r="W30" s="407"/>
      <c r="X30" s="407"/>
      <c r="Y30" s="407"/>
      <c r="Z30" s="407"/>
    </row>
    <row r="31" spans="1:30">
      <c r="B31" s="407"/>
      <c r="C31" s="407"/>
      <c r="D31" s="407"/>
      <c r="E31" s="407"/>
      <c r="F31" s="407"/>
      <c r="G31" s="407"/>
      <c r="H31" s="407"/>
      <c r="I31" s="407"/>
      <c r="J31" s="407"/>
      <c r="K31" s="407"/>
      <c r="L31" s="407"/>
      <c r="M31" s="407"/>
      <c r="O31" s="407"/>
      <c r="P31" s="407"/>
      <c r="Q31" s="407"/>
      <c r="R31" s="407"/>
      <c r="S31" s="407"/>
      <c r="T31" s="407"/>
      <c r="U31" s="407"/>
      <c r="V31" s="407"/>
      <c r="W31" s="407"/>
      <c r="X31" s="407"/>
      <c r="Y31" s="407"/>
      <c r="Z31" s="407"/>
    </row>
    <row r="32" spans="1:30">
      <c r="B32" s="407"/>
      <c r="C32" s="407"/>
      <c r="D32" s="407"/>
      <c r="E32" s="407"/>
      <c r="F32" s="407"/>
      <c r="G32" s="407"/>
      <c r="H32" s="407"/>
      <c r="I32" s="407"/>
      <c r="J32" s="407"/>
      <c r="K32" s="407"/>
      <c r="L32" s="407"/>
      <c r="M32" s="407"/>
      <c r="O32" s="407"/>
      <c r="P32" s="407"/>
      <c r="Q32" s="407"/>
      <c r="R32" s="407"/>
      <c r="S32" s="407"/>
      <c r="T32" s="407"/>
      <c r="U32" s="407"/>
      <c r="V32" s="407"/>
      <c r="W32" s="407"/>
      <c r="X32" s="407"/>
      <c r="Y32" s="407"/>
      <c r="Z32" s="407"/>
    </row>
    <row r="33" spans="2:26">
      <c r="B33" s="407"/>
      <c r="C33" s="407"/>
      <c r="D33" s="407"/>
      <c r="E33" s="407"/>
      <c r="F33" s="407"/>
      <c r="G33" s="407"/>
      <c r="H33" s="407"/>
      <c r="I33" s="407"/>
      <c r="J33" s="407"/>
      <c r="K33" s="407"/>
      <c r="L33" s="407"/>
      <c r="M33" s="407"/>
      <c r="O33" s="407"/>
      <c r="P33" s="407"/>
      <c r="Q33" s="407"/>
      <c r="R33" s="407"/>
      <c r="S33" s="407"/>
      <c r="T33" s="407"/>
      <c r="U33" s="407"/>
      <c r="V33" s="407"/>
      <c r="W33" s="407"/>
      <c r="X33" s="407"/>
      <c r="Y33" s="407"/>
      <c r="Z33" s="407"/>
    </row>
    <row r="34" spans="2:26">
      <c r="B34" s="407"/>
      <c r="C34" s="407"/>
      <c r="D34" s="407"/>
      <c r="E34" s="407"/>
      <c r="F34" s="407"/>
      <c r="G34" s="407"/>
      <c r="H34" s="407"/>
      <c r="I34" s="407"/>
      <c r="J34" s="407"/>
      <c r="K34" s="407"/>
      <c r="L34" s="407"/>
      <c r="M34" s="407"/>
      <c r="O34" s="407"/>
      <c r="P34" s="407"/>
      <c r="Q34" s="407"/>
      <c r="R34" s="407"/>
      <c r="S34" s="407"/>
      <c r="T34" s="407"/>
      <c r="U34" s="407"/>
      <c r="V34" s="407"/>
      <c r="W34" s="407"/>
      <c r="X34" s="407"/>
      <c r="Y34" s="407"/>
      <c r="Z34" s="407"/>
    </row>
    <row r="35" spans="2:26" ht="13.7" customHeight="1">
      <c r="B35" s="407"/>
      <c r="C35" s="407"/>
      <c r="D35" s="407"/>
      <c r="E35" s="407"/>
      <c r="F35" s="407"/>
      <c r="G35" s="407"/>
      <c r="H35" s="407"/>
      <c r="I35" s="407"/>
      <c r="J35" s="407"/>
      <c r="K35" s="407"/>
      <c r="L35" s="407"/>
      <c r="M35" s="407"/>
      <c r="O35" s="407"/>
      <c r="P35" s="407"/>
      <c r="Q35" s="407"/>
      <c r="R35" s="407"/>
      <c r="S35" s="407"/>
      <c r="T35" s="407"/>
      <c r="U35" s="407"/>
      <c r="V35" s="407"/>
      <c r="W35" s="407"/>
      <c r="X35" s="407"/>
      <c r="Y35" s="407"/>
      <c r="Z35" s="407"/>
    </row>
    <row r="36" spans="2:26">
      <c r="B36" s="407"/>
      <c r="C36" s="407"/>
      <c r="D36" s="407"/>
      <c r="E36" s="407"/>
      <c r="F36" s="407"/>
      <c r="G36" s="407"/>
      <c r="H36" s="407"/>
      <c r="I36" s="407"/>
      <c r="J36" s="407"/>
      <c r="K36" s="407"/>
      <c r="L36" s="407"/>
      <c r="M36" s="407"/>
      <c r="O36" s="407"/>
      <c r="P36" s="407"/>
      <c r="Q36" s="407"/>
      <c r="R36" s="407"/>
      <c r="S36" s="407"/>
      <c r="T36" s="407"/>
      <c r="U36" s="407"/>
      <c r="V36" s="407"/>
      <c r="W36" s="407"/>
      <c r="X36" s="407"/>
      <c r="Y36" s="407"/>
      <c r="Z36" s="407"/>
    </row>
    <row r="37" spans="2:26">
      <c r="B37" s="407"/>
      <c r="C37" s="407"/>
      <c r="D37" s="407"/>
      <c r="E37" s="407"/>
      <c r="F37" s="407"/>
      <c r="G37" s="407"/>
      <c r="H37" s="407"/>
      <c r="I37" s="407"/>
      <c r="J37" s="407"/>
      <c r="K37" s="407"/>
      <c r="L37" s="407"/>
      <c r="M37" s="407"/>
      <c r="O37" s="407"/>
      <c r="P37" s="407"/>
      <c r="Q37" s="407"/>
      <c r="R37" s="407"/>
      <c r="S37" s="407"/>
      <c r="T37" s="407"/>
      <c r="U37" s="407"/>
      <c r="V37" s="407"/>
      <c r="W37" s="407"/>
      <c r="X37" s="407"/>
      <c r="Y37" s="407"/>
      <c r="Z37" s="407"/>
    </row>
    <row r="38" spans="2:26">
      <c r="B38" s="407"/>
      <c r="C38" s="407"/>
      <c r="D38" s="407"/>
      <c r="E38" s="407"/>
      <c r="F38" s="407"/>
      <c r="G38" s="407"/>
      <c r="H38" s="407"/>
      <c r="I38" s="407"/>
      <c r="J38" s="407"/>
      <c r="K38" s="407"/>
      <c r="L38" s="407"/>
      <c r="M38" s="407"/>
      <c r="O38" s="407"/>
      <c r="P38" s="407"/>
      <c r="Q38" s="407"/>
      <c r="R38" s="407"/>
      <c r="S38" s="407"/>
      <c r="T38" s="407"/>
      <c r="U38" s="407"/>
      <c r="V38" s="407"/>
      <c r="W38" s="407"/>
      <c r="X38" s="407"/>
      <c r="Y38" s="407"/>
      <c r="Z38" s="407"/>
    </row>
    <row r="39" spans="2:26">
      <c r="B39" s="407"/>
      <c r="C39" s="407"/>
      <c r="D39" s="407"/>
      <c r="E39" s="407"/>
      <c r="F39" s="407"/>
      <c r="G39" s="407"/>
      <c r="H39" s="407"/>
      <c r="I39" s="407"/>
      <c r="J39" s="407"/>
      <c r="K39" s="407"/>
      <c r="L39" s="407"/>
      <c r="M39" s="407"/>
      <c r="O39" s="407"/>
      <c r="P39" s="407"/>
      <c r="Q39" s="407"/>
      <c r="R39" s="407"/>
      <c r="S39" s="407"/>
      <c r="T39" s="407"/>
      <c r="U39" s="407"/>
      <c r="V39" s="407"/>
      <c r="W39" s="407"/>
      <c r="X39" s="407"/>
      <c r="Y39" s="407"/>
      <c r="Z39" s="407"/>
    </row>
    <row r="40" spans="2:26">
      <c r="B40" s="407"/>
      <c r="C40" s="407"/>
      <c r="D40" s="407"/>
      <c r="E40" s="407"/>
      <c r="F40" s="407"/>
      <c r="G40" s="407"/>
      <c r="H40" s="407"/>
      <c r="I40" s="407"/>
      <c r="J40" s="407"/>
      <c r="K40" s="407"/>
      <c r="L40" s="407"/>
      <c r="M40" s="407"/>
      <c r="O40" s="407"/>
      <c r="P40" s="407"/>
      <c r="Q40" s="407"/>
      <c r="R40" s="407"/>
      <c r="S40" s="407"/>
      <c r="T40" s="407"/>
      <c r="U40" s="407"/>
      <c r="V40" s="407"/>
      <c r="W40" s="407"/>
      <c r="X40" s="407"/>
      <c r="Y40" s="407"/>
      <c r="Z40" s="407"/>
    </row>
    <row r="41" spans="2:26">
      <c r="B41" s="407"/>
      <c r="C41" s="407"/>
      <c r="D41" s="407"/>
      <c r="E41" s="407"/>
      <c r="F41" s="407"/>
      <c r="G41" s="407"/>
      <c r="H41" s="407"/>
      <c r="I41" s="407"/>
      <c r="J41" s="407"/>
      <c r="K41" s="407"/>
      <c r="L41" s="407"/>
      <c r="M41" s="407"/>
      <c r="O41" s="407"/>
      <c r="P41" s="407"/>
      <c r="Q41" s="407"/>
      <c r="R41" s="407"/>
      <c r="S41" s="407"/>
      <c r="T41" s="407"/>
      <c r="U41" s="407"/>
      <c r="V41" s="407"/>
      <c r="W41" s="407"/>
      <c r="X41" s="407"/>
      <c r="Y41" s="407"/>
      <c r="Z41" s="407"/>
    </row>
    <row r="42" spans="2:26">
      <c r="B42" s="407"/>
      <c r="C42" s="407"/>
      <c r="D42" s="407"/>
      <c r="E42" s="407"/>
      <c r="F42" s="407"/>
      <c r="G42" s="407"/>
      <c r="H42" s="407"/>
      <c r="I42" s="407"/>
      <c r="J42" s="407"/>
      <c r="K42" s="407"/>
      <c r="L42" s="407"/>
      <c r="M42" s="407"/>
      <c r="O42" s="407"/>
      <c r="P42" s="407"/>
      <c r="Q42" s="407"/>
      <c r="R42" s="407"/>
      <c r="S42" s="407"/>
      <c r="T42" s="407"/>
      <c r="U42" s="407"/>
      <c r="V42" s="407"/>
      <c r="W42" s="407"/>
      <c r="X42" s="407"/>
      <c r="Y42" s="407"/>
      <c r="Z42" s="407"/>
    </row>
    <row r="43" spans="2:26">
      <c r="B43" s="407"/>
      <c r="C43" s="407"/>
      <c r="D43" s="407"/>
      <c r="E43" s="407"/>
      <c r="F43" s="407"/>
      <c r="G43" s="407"/>
      <c r="H43" s="407"/>
      <c r="I43" s="407"/>
      <c r="J43" s="407"/>
      <c r="K43" s="407"/>
      <c r="L43" s="407"/>
      <c r="M43" s="407"/>
      <c r="O43" s="407"/>
      <c r="P43" s="407"/>
      <c r="Q43" s="407"/>
      <c r="R43" s="407"/>
      <c r="S43" s="407"/>
      <c r="T43" s="407"/>
      <c r="U43" s="407"/>
      <c r="V43" s="407"/>
      <c r="W43" s="407"/>
      <c r="X43" s="407"/>
      <c r="Y43" s="407"/>
      <c r="Z43" s="407"/>
    </row>
  </sheetData>
  <mergeCells count="10">
    <mergeCell ref="U3:Z3"/>
    <mergeCell ref="A1:G1"/>
    <mergeCell ref="O1:T1"/>
    <mergeCell ref="A2:G2"/>
    <mergeCell ref="O2:T2"/>
    <mergeCell ref="A3:A4"/>
    <mergeCell ref="B3:G3"/>
    <mergeCell ref="H3:M3"/>
    <mergeCell ref="N3:N4"/>
    <mergeCell ref="O3:T3"/>
  </mergeCells>
  <phoneticPr fontId="3" type="noConversion"/>
  <printOptions horizontalCentered="1"/>
  <pageMargins left="0.47244094488188981" right="0.62992125984251968" top="0.51181102362204722" bottom="0.15748031496062992" header="0.51181102362204722" footer="0.15748031496062992"/>
  <pageSetup paperSize="9" scale="94" fitToWidth="4" orientation="portrait" r:id="rId1"/>
  <headerFooter alignWithMargins="0"/>
  <colBreaks count="1" manualBreakCount="1">
    <brk id="13" max="25" man="1"/>
  </colBreaks>
  <legacyDrawing r:id="rId2"/>
</worksheet>
</file>

<file path=xl/worksheets/sheet6.xml><?xml version="1.0" encoding="utf-8"?>
<worksheet xmlns="http://schemas.openxmlformats.org/spreadsheetml/2006/main" xmlns:r="http://schemas.openxmlformats.org/officeDocument/2006/relationships">
  <sheetPr>
    <tabColor indexed="34"/>
    <pageSetUpPr fitToPage="1"/>
  </sheetPr>
  <dimension ref="A1:Q18"/>
  <sheetViews>
    <sheetView view="pageBreakPreview" zoomScaleNormal="90" zoomScaleSheetLayoutView="100" workbookViewId="0">
      <pane xSplit="1" ySplit="4" topLeftCell="F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8.625" style="26" customWidth="1"/>
    <col min="2" max="3" width="10.125" style="1" customWidth="1"/>
    <col min="4" max="4" width="12.375" style="1" customWidth="1"/>
    <col min="5" max="5" width="18.875" style="1" customWidth="1"/>
    <col min="6" max="6" width="10.125" style="1" customWidth="1"/>
    <col min="7" max="7" width="12.375" style="1" customWidth="1"/>
    <col min="8" max="8" width="20.5" style="1" bestFit="1" customWidth="1"/>
    <col min="9" max="16384" width="9" style="15"/>
  </cols>
  <sheetData>
    <row r="1" spans="1:17" ht="33" customHeight="1">
      <c r="A1" s="778" t="s">
        <v>235</v>
      </c>
      <c r="B1" s="778"/>
      <c r="C1" s="778"/>
      <c r="D1" s="778"/>
      <c r="E1" s="778"/>
      <c r="F1" s="778"/>
      <c r="G1" s="778"/>
      <c r="H1" s="778"/>
    </row>
    <row r="2" spans="1:17" ht="33" customHeight="1">
      <c r="A2" s="799" t="s">
        <v>392</v>
      </c>
      <c r="B2" s="799"/>
      <c r="C2" s="799"/>
      <c r="D2" s="799"/>
      <c r="E2" s="799"/>
      <c r="F2" s="799"/>
      <c r="G2" s="799"/>
      <c r="H2" s="799"/>
    </row>
    <row r="3" spans="1:17" ht="36.75" customHeight="1">
      <c r="A3" s="800" t="s">
        <v>222</v>
      </c>
      <c r="B3" s="802" t="s">
        <v>223</v>
      </c>
      <c r="C3" s="804" t="s">
        <v>236</v>
      </c>
      <c r="D3" s="805"/>
      <c r="E3" s="801"/>
      <c r="F3" s="804" t="s">
        <v>237</v>
      </c>
      <c r="G3" s="806"/>
      <c r="H3" s="806"/>
      <c r="I3" s="16"/>
    </row>
    <row r="4" spans="1:17" ht="46.5" customHeight="1">
      <c r="A4" s="801"/>
      <c r="B4" s="803"/>
      <c r="C4" s="17" t="s">
        <v>226</v>
      </c>
      <c r="D4" s="17" t="s">
        <v>238</v>
      </c>
      <c r="E4" s="18" t="s">
        <v>337</v>
      </c>
      <c r="F4" s="17" t="s">
        <v>226</v>
      </c>
      <c r="G4" s="17" t="s">
        <v>238</v>
      </c>
      <c r="H4" s="19" t="s">
        <v>239</v>
      </c>
      <c r="I4" s="16"/>
      <c r="J4" s="61" t="s">
        <v>359</v>
      </c>
      <c r="K4" s="61" t="s">
        <v>423</v>
      </c>
    </row>
    <row r="5" spans="1:17" ht="54.95" customHeight="1">
      <c r="A5" s="113" t="s">
        <v>240</v>
      </c>
      <c r="B5" s="20">
        <f t="shared" ref="B5:B11" si="0">C5+F5</f>
        <v>3717</v>
      </c>
      <c r="C5" s="21">
        <f t="shared" ref="C5:C11" si="1">SUM(D5:E5)</f>
        <v>3298</v>
      </c>
      <c r="D5" s="20">
        <f>SUM(D7:D16)</f>
        <v>795</v>
      </c>
      <c r="E5" s="20">
        <f>SUM(E7:E16)</f>
        <v>2503</v>
      </c>
      <c r="F5" s="21">
        <f t="shared" ref="F5:F11" si="2">SUM(G5:H5)</f>
        <v>419</v>
      </c>
      <c r="G5" s="20">
        <f>SUM(G7:G16)</f>
        <v>2</v>
      </c>
      <c r="H5" s="20">
        <f>SUM(H7:H16)</f>
        <v>417</v>
      </c>
      <c r="I5" s="117">
        <f>B5-'6歷年退離(政)-OK'!G6-'7歷年退離(公)-OK'!H6-'8歷年退離(教)-OK'!H6-'9歷年退離(軍)-OK'!F6</f>
        <v>0</v>
      </c>
      <c r="J5" s="118">
        <f>SUM(B6:H14)-SUM('[1]4歷年撫卹'!$B$7:$H$15)</f>
        <v>0</v>
      </c>
      <c r="K5" s="118">
        <f>B5-B16-'[4]4歷年撫卹-OK'!B5+'[4]4歷年撫卹-OK'!B6</f>
        <v>0</v>
      </c>
      <c r="L5" s="118">
        <f>C5-C16-'[4]4歷年撫卹-OK'!C5+'[4]4歷年撫卹-OK'!C6</f>
        <v>0</v>
      </c>
      <c r="M5" s="118">
        <f>D5-D16-'[4]4歷年撫卹-OK'!D5+'[4]4歷年撫卹-OK'!D6</f>
        <v>0</v>
      </c>
      <c r="N5" s="118">
        <f>E5-E16-'[4]4歷年撫卹-OK'!E5+'[4]4歷年撫卹-OK'!E6</f>
        <v>0</v>
      </c>
      <c r="O5" s="118">
        <f>F5-F16-'[4]4歷年撫卹-OK'!F5+'[4]4歷年撫卹-OK'!F6</f>
        <v>0</v>
      </c>
      <c r="P5" s="118">
        <f>G5-G16-'[4]4歷年撫卹-OK'!G5+'[4]4歷年撫卹-OK'!G6</f>
        <v>0</v>
      </c>
      <c r="Q5" s="118">
        <f>H5-H16-'[4]4歷年撫卹-OK'!H5+'[4]4歷年撫卹-OK'!H6</f>
        <v>0</v>
      </c>
    </row>
    <row r="6" spans="1:17" ht="54.95" hidden="1" customHeight="1">
      <c r="A6" s="113" t="s">
        <v>2</v>
      </c>
      <c r="B6" s="20">
        <f t="shared" si="0"/>
        <v>420</v>
      </c>
      <c r="C6" s="21">
        <f t="shared" si="1"/>
        <v>345</v>
      </c>
      <c r="D6" s="21">
        <v>79</v>
      </c>
      <c r="E6" s="21">
        <v>266</v>
      </c>
      <c r="F6" s="21">
        <f t="shared" si="2"/>
        <v>75</v>
      </c>
      <c r="G6" s="21">
        <v>2</v>
      </c>
      <c r="H6" s="21">
        <v>73</v>
      </c>
    </row>
    <row r="7" spans="1:17" ht="54.95" customHeight="1">
      <c r="A7" s="113" t="s">
        <v>3</v>
      </c>
      <c r="B7" s="20">
        <f t="shared" si="0"/>
        <v>410</v>
      </c>
      <c r="C7" s="21">
        <f t="shared" si="1"/>
        <v>330</v>
      </c>
      <c r="D7" s="21">
        <v>84</v>
      </c>
      <c r="E7" s="21">
        <v>246</v>
      </c>
      <c r="F7" s="21">
        <f t="shared" si="2"/>
        <v>80</v>
      </c>
      <c r="G7" s="21">
        <v>1</v>
      </c>
      <c r="H7" s="21">
        <v>79</v>
      </c>
      <c r="I7" s="118"/>
      <c r="J7" s="118"/>
      <c r="K7" s="118">
        <f>B7-'[4]4歷年撫卹-OK'!B7</f>
        <v>0</v>
      </c>
      <c r="L7" s="118">
        <f>C7-'[4]4歷年撫卹-OK'!C7</f>
        <v>0</v>
      </c>
      <c r="M7" s="118">
        <f>D7-'[4]4歷年撫卹-OK'!D7</f>
        <v>0</v>
      </c>
      <c r="N7" s="118">
        <f>E7-'[4]4歷年撫卹-OK'!E7</f>
        <v>0</v>
      </c>
      <c r="O7" s="118">
        <f>F7-'[4]4歷年撫卹-OK'!F7</f>
        <v>0</v>
      </c>
      <c r="P7" s="118">
        <f>G7-'[4]4歷年撫卹-OK'!G7</f>
        <v>0</v>
      </c>
      <c r="Q7" s="118">
        <f>H7-'[4]4歷年撫卹-OK'!H7</f>
        <v>0</v>
      </c>
    </row>
    <row r="8" spans="1:17" ht="54.95" customHeight="1">
      <c r="A8" s="113" t="s">
        <v>4</v>
      </c>
      <c r="B8" s="20">
        <f t="shared" si="0"/>
        <v>394</v>
      </c>
      <c r="C8" s="21">
        <f t="shared" si="1"/>
        <v>339</v>
      </c>
      <c r="D8" s="21">
        <v>83</v>
      </c>
      <c r="E8" s="21">
        <v>256</v>
      </c>
      <c r="F8" s="21">
        <f t="shared" si="2"/>
        <v>55</v>
      </c>
      <c r="G8" s="21">
        <v>0</v>
      </c>
      <c r="H8" s="21">
        <v>55</v>
      </c>
      <c r="K8" s="118">
        <f>B8-'[4]4歷年撫卹-OK'!B8</f>
        <v>0</v>
      </c>
      <c r="L8" s="118">
        <f>C8-'[4]4歷年撫卹-OK'!C8</f>
        <v>0</v>
      </c>
      <c r="M8" s="118">
        <f>D8-'[4]4歷年撫卹-OK'!D8</f>
        <v>0</v>
      </c>
      <c r="N8" s="118">
        <f>E8-'[4]4歷年撫卹-OK'!E8</f>
        <v>0</v>
      </c>
      <c r="O8" s="118">
        <f>F8-'[4]4歷年撫卹-OK'!F8</f>
        <v>0</v>
      </c>
      <c r="P8" s="118">
        <f>G8-'[4]4歷年撫卹-OK'!G8</f>
        <v>0</v>
      </c>
      <c r="Q8" s="118">
        <f>H8-'[4]4歷年撫卹-OK'!H8</f>
        <v>0</v>
      </c>
    </row>
    <row r="9" spans="1:17" ht="54.95" customHeight="1">
      <c r="A9" s="113" t="s">
        <v>5</v>
      </c>
      <c r="B9" s="20">
        <f t="shared" si="0"/>
        <v>345</v>
      </c>
      <c r="C9" s="21">
        <f t="shared" si="1"/>
        <v>300</v>
      </c>
      <c r="D9" s="21">
        <v>65</v>
      </c>
      <c r="E9" s="21">
        <v>235</v>
      </c>
      <c r="F9" s="21">
        <f t="shared" si="2"/>
        <v>45</v>
      </c>
      <c r="G9" s="21">
        <v>0</v>
      </c>
      <c r="H9" s="21">
        <v>45</v>
      </c>
      <c r="K9" s="118">
        <f>B9-'[4]4歷年撫卹-OK'!B9</f>
        <v>0</v>
      </c>
      <c r="L9" s="118">
        <f>C9-'[4]4歷年撫卹-OK'!C9</f>
        <v>0</v>
      </c>
      <c r="M9" s="118">
        <f>D9-'[4]4歷年撫卹-OK'!D9</f>
        <v>0</v>
      </c>
      <c r="N9" s="118">
        <f>E9-'[4]4歷年撫卹-OK'!E9</f>
        <v>0</v>
      </c>
      <c r="O9" s="118">
        <f>F9-'[4]4歷年撫卹-OK'!F9</f>
        <v>0</v>
      </c>
      <c r="P9" s="118">
        <f>G9-'[4]4歷年撫卹-OK'!G9</f>
        <v>0</v>
      </c>
      <c r="Q9" s="118">
        <f>H9-'[4]4歷年撫卹-OK'!H9</f>
        <v>0</v>
      </c>
    </row>
    <row r="10" spans="1:17" ht="54.95" customHeight="1">
      <c r="A10" s="113" t="s">
        <v>6</v>
      </c>
      <c r="B10" s="20">
        <f t="shared" si="0"/>
        <v>372</v>
      </c>
      <c r="C10" s="21">
        <f t="shared" si="1"/>
        <v>337</v>
      </c>
      <c r="D10" s="21">
        <v>82</v>
      </c>
      <c r="E10" s="21">
        <v>255</v>
      </c>
      <c r="F10" s="21">
        <f t="shared" si="2"/>
        <v>35</v>
      </c>
      <c r="G10" s="21">
        <v>0</v>
      </c>
      <c r="H10" s="21">
        <v>35</v>
      </c>
      <c r="K10" s="118">
        <f>B10-'[4]4歷年撫卹-OK'!B10</f>
        <v>0</v>
      </c>
      <c r="L10" s="118">
        <f>C10-'[4]4歷年撫卹-OK'!C10</f>
        <v>0</v>
      </c>
      <c r="M10" s="118">
        <f>D10-'[4]4歷年撫卹-OK'!D10</f>
        <v>0</v>
      </c>
      <c r="N10" s="118">
        <f>E10-'[4]4歷年撫卹-OK'!E10</f>
        <v>0</v>
      </c>
      <c r="O10" s="118">
        <f>F10-'[4]4歷年撫卹-OK'!F10</f>
        <v>0</v>
      </c>
      <c r="P10" s="118">
        <f>G10-'[4]4歷年撫卹-OK'!G10</f>
        <v>0</v>
      </c>
      <c r="Q10" s="118">
        <f>H10-'[4]4歷年撫卹-OK'!H10</f>
        <v>0</v>
      </c>
    </row>
    <row r="11" spans="1:17" s="16" customFormat="1" ht="54.95" customHeight="1">
      <c r="A11" s="113" t="s">
        <v>7</v>
      </c>
      <c r="B11" s="22">
        <f t="shared" si="0"/>
        <v>369</v>
      </c>
      <c r="C11" s="21">
        <f t="shared" si="1"/>
        <v>319</v>
      </c>
      <c r="D11" s="21">
        <v>70</v>
      </c>
      <c r="E11" s="21">
        <v>249</v>
      </c>
      <c r="F11" s="21">
        <f t="shared" si="2"/>
        <v>50</v>
      </c>
      <c r="G11" s="21">
        <v>0</v>
      </c>
      <c r="H11" s="21">
        <v>50</v>
      </c>
      <c r="K11" s="118">
        <f>B11-'[4]4歷年撫卹-OK'!B11</f>
        <v>0</v>
      </c>
      <c r="L11" s="118">
        <f>C11-'[4]4歷年撫卹-OK'!C11</f>
        <v>0</v>
      </c>
      <c r="M11" s="118">
        <f>D11-'[4]4歷年撫卹-OK'!D11</f>
        <v>0</v>
      </c>
      <c r="N11" s="118">
        <f>E11-'[4]4歷年撫卹-OK'!E11</f>
        <v>0</v>
      </c>
      <c r="O11" s="118">
        <f>F11-'[4]4歷年撫卹-OK'!F11</f>
        <v>0</v>
      </c>
      <c r="P11" s="118">
        <f>G11-'[4]4歷年撫卹-OK'!G11</f>
        <v>0</v>
      </c>
      <c r="Q11" s="118">
        <f>H11-'[4]4歷年撫卹-OK'!H11</f>
        <v>0</v>
      </c>
    </row>
    <row r="12" spans="1:17" ht="54.95" customHeight="1">
      <c r="A12" s="113" t="s">
        <v>241</v>
      </c>
      <c r="B12" s="22">
        <f>C12+F12</f>
        <v>357</v>
      </c>
      <c r="C12" s="21">
        <f>SUM(D12:E12)</f>
        <v>326</v>
      </c>
      <c r="D12" s="21">
        <v>76</v>
      </c>
      <c r="E12" s="21">
        <v>250</v>
      </c>
      <c r="F12" s="21">
        <f>SUM(G12:H12)</f>
        <v>31</v>
      </c>
      <c r="G12" s="21">
        <v>0</v>
      </c>
      <c r="H12" s="21">
        <v>31</v>
      </c>
      <c r="K12" s="118">
        <f>B12-'[4]4歷年撫卹-OK'!B12</f>
        <v>0</v>
      </c>
      <c r="L12" s="118">
        <f>C12-'[4]4歷年撫卹-OK'!C12</f>
        <v>0</v>
      </c>
      <c r="M12" s="118">
        <f>D12-'[4]4歷年撫卹-OK'!D12</f>
        <v>0</v>
      </c>
      <c r="N12" s="118">
        <f>E12-'[4]4歷年撫卹-OK'!E12</f>
        <v>0</v>
      </c>
      <c r="O12" s="118">
        <f>F12-'[4]4歷年撫卹-OK'!F12</f>
        <v>0</v>
      </c>
      <c r="P12" s="118">
        <f>G12-'[4]4歷年撫卹-OK'!G12</f>
        <v>0</v>
      </c>
      <c r="Q12" s="118">
        <f>H12-'[4]4歷年撫卹-OK'!H12</f>
        <v>0</v>
      </c>
    </row>
    <row r="13" spans="1:17" ht="54.95" customHeight="1">
      <c r="A13" s="113" t="s">
        <v>363</v>
      </c>
      <c r="B13" s="22">
        <f>C13+F13</f>
        <v>394</v>
      </c>
      <c r="C13" s="21">
        <f>SUM(D13:E13)</f>
        <v>358</v>
      </c>
      <c r="D13" s="21">
        <v>86</v>
      </c>
      <c r="E13" s="21">
        <v>272</v>
      </c>
      <c r="F13" s="21">
        <f>SUM(G13:H13)</f>
        <v>36</v>
      </c>
      <c r="G13" s="21">
        <v>0</v>
      </c>
      <c r="H13" s="21">
        <v>36</v>
      </c>
      <c r="K13" s="118">
        <f>B13-'[4]4歷年撫卹-OK'!B13</f>
        <v>0</v>
      </c>
      <c r="L13" s="118">
        <f>C13-'[4]4歷年撫卹-OK'!C13</f>
        <v>0</v>
      </c>
      <c r="M13" s="118">
        <f>D13-'[4]4歷年撫卹-OK'!D13</f>
        <v>0</v>
      </c>
      <c r="N13" s="118">
        <f>E13-'[4]4歷年撫卹-OK'!E13</f>
        <v>0</v>
      </c>
      <c r="O13" s="118">
        <f>F13-'[4]4歷年撫卹-OK'!F13</f>
        <v>0</v>
      </c>
      <c r="P13" s="118">
        <f>G13-'[4]4歷年撫卹-OK'!G13</f>
        <v>0</v>
      </c>
      <c r="Q13" s="118">
        <f>H13-'[4]4歷年撫卹-OK'!H13</f>
        <v>0</v>
      </c>
    </row>
    <row r="14" spans="1:17" ht="54.95" customHeight="1">
      <c r="A14" s="113" t="s">
        <v>188</v>
      </c>
      <c r="B14" s="22">
        <f>C14+F14</f>
        <v>380</v>
      </c>
      <c r="C14" s="21">
        <f>SUM(D14:E14)</f>
        <v>362</v>
      </c>
      <c r="D14" s="21">
        <v>95</v>
      </c>
      <c r="E14" s="21">
        <v>267</v>
      </c>
      <c r="F14" s="21">
        <f>SUM(G14:H14)</f>
        <v>18</v>
      </c>
      <c r="G14" s="21">
        <v>0</v>
      </c>
      <c r="H14" s="21">
        <v>18</v>
      </c>
      <c r="K14" s="118">
        <f>B14-'[4]4歷年撫卹-OK'!B14</f>
        <v>0</v>
      </c>
      <c r="L14" s="118">
        <f>C14-'[4]4歷年撫卹-OK'!C14</f>
        <v>0</v>
      </c>
      <c r="M14" s="118">
        <f>D14-'[4]4歷年撫卹-OK'!D14</f>
        <v>0</v>
      </c>
      <c r="N14" s="118">
        <f>E14-'[4]4歷年撫卹-OK'!E14</f>
        <v>0</v>
      </c>
      <c r="O14" s="118">
        <f>F14-'[4]4歷年撫卹-OK'!F14</f>
        <v>0</v>
      </c>
      <c r="P14" s="118">
        <f>G14-'[4]4歷年撫卹-OK'!G14</f>
        <v>0</v>
      </c>
      <c r="Q14" s="118">
        <f>H14-'[4]4歷年撫卹-OK'!H14</f>
        <v>0</v>
      </c>
    </row>
    <row r="15" spans="1:17" ht="54.95" customHeight="1">
      <c r="A15" s="113" t="s">
        <v>242</v>
      </c>
      <c r="B15" s="22">
        <f>C15+F15</f>
        <v>314</v>
      </c>
      <c r="C15" s="21">
        <f>SUM(D15:E15)</f>
        <v>275</v>
      </c>
      <c r="D15" s="21">
        <f>'[4]6歷年退離(政)-OK'!I16+'[4]7歷年退離(公)-OK'!J16+'[4]8歷年退離(教)-OK'!J16+'[4]9歷年退離(軍)-OK'!H16</f>
        <v>74</v>
      </c>
      <c r="E15" s="21">
        <f>'[4]6歷年退離(政)-OK'!J16+'[4]7歷年退離(公)-OK'!K16+'[4]8歷年退離(教)-OK'!K16+'[4]9歷年退離(軍)-OK'!I16</f>
        <v>201</v>
      </c>
      <c r="F15" s="21">
        <f>SUM(G15:H15)</f>
        <v>39</v>
      </c>
      <c r="G15" s="21">
        <f>'[4]6歷年退離(政)-OK'!L16+'[4]7歷年退離(公)-OK'!M16+'[4]8歷年退離(教)-OK'!M16+'[4]9歷年退離(軍)-OK'!K16</f>
        <v>0</v>
      </c>
      <c r="H15" s="21">
        <f>'[4]6歷年退離(政)-OK'!M16+'[4]7歷年退離(公)-OK'!N16+'[4]8歷年退離(教)-OK'!N16+'[4]9歷年退離(軍)-OK'!L16</f>
        <v>39</v>
      </c>
      <c r="K15" s="118">
        <f>B15-'[4]4歷年撫卹-OK'!B15</f>
        <v>0</v>
      </c>
      <c r="L15" s="118">
        <f>C15-'[4]4歷年撫卹-OK'!C15</f>
        <v>0</v>
      </c>
      <c r="M15" s="118">
        <f>D15-'[4]4歷年撫卹-OK'!D15</f>
        <v>0</v>
      </c>
      <c r="N15" s="118">
        <f>E15-'[4]4歷年撫卹-OK'!E15</f>
        <v>0</v>
      </c>
      <c r="O15" s="118">
        <f>F15-'[4]4歷年撫卹-OK'!F15</f>
        <v>0</v>
      </c>
      <c r="P15" s="118">
        <f>G15-'[4]4歷年撫卹-OK'!G15</f>
        <v>0</v>
      </c>
      <c r="Q15" s="118">
        <f>H15-'[4]4歷年撫卹-OK'!H15</f>
        <v>0</v>
      </c>
    </row>
    <row r="16" spans="1:17" ht="54.95" customHeight="1">
      <c r="A16" s="145" t="s">
        <v>389</v>
      </c>
      <c r="B16" s="23">
        <v>382</v>
      </c>
      <c r="C16" s="24">
        <v>352</v>
      </c>
      <c r="D16" s="24">
        <v>80</v>
      </c>
      <c r="E16" s="24">
        <v>272</v>
      </c>
      <c r="F16" s="24">
        <v>30</v>
      </c>
      <c r="G16" s="24">
        <v>1</v>
      </c>
      <c r="H16" s="24">
        <v>29</v>
      </c>
    </row>
    <row r="17" spans="1:8" ht="28.5" customHeight="1">
      <c r="A17" s="797" t="s">
        <v>360</v>
      </c>
      <c r="B17" s="798"/>
      <c r="C17" s="798"/>
      <c r="D17" s="798"/>
      <c r="E17" s="798"/>
      <c r="F17" s="798"/>
      <c r="G17" s="798"/>
      <c r="H17" s="798"/>
    </row>
    <row r="18" spans="1:8">
      <c r="A18" s="25"/>
      <c r="B18" s="13"/>
      <c r="C18" s="13"/>
      <c r="D18" s="13"/>
      <c r="E18" s="13"/>
      <c r="F18" s="13"/>
      <c r="G18" s="13"/>
      <c r="H18" s="13"/>
    </row>
  </sheetData>
  <mergeCells count="7">
    <mergeCell ref="A17:H17"/>
    <mergeCell ref="A1:H1"/>
    <mergeCell ref="A2:H2"/>
    <mergeCell ref="A3:A4"/>
    <mergeCell ref="B3:B4"/>
    <mergeCell ref="C3:E3"/>
    <mergeCell ref="F3:H3"/>
  </mergeCells>
  <phoneticPr fontId="3" type="noConversion"/>
  <pageMargins left="0.41" right="0.36" top="0.59055118110236227" bottom="0.42" header="0.18" footer="0"/>
  <pageSetup paperSize="9" scale="92" orientation="portrait" r:id="rId1"/>
  <headerFooter alignWithMargins="0"/>
</worksheet>
</file>

<file path=xl/worksheets/sheet60.xml><?xml version="1.0" encoding="utf-8"?>
<worksheet xmlns="http://schemas.openxmlformats.org/spreadsheetml/2006/main" xmlns:r="http://schemas.openxmlformats.org/officeDocument/2006/relationships">
  <sheetPr>
    <tabColor indexed="43"/>
    <pageSetUpPr fitToPage="1"/>
  </sheetPr>
  <dimension ref="A1:H39"/>
  <sheetViews>
    <sheetView view="pageBreakPreview" zoomScale="115" zoomScaleNormal="100" zoomScaleSheetLayoutView="115" workbookViewId="0">
      <selection activeCell="B20" sqref="B20"/>
    </sheetView>
  </sheetViews>
  <sheetFormatPr defaultRowHeight="15.75"/>
  <cols>
    <col min="1" max="1" width="23.625" style="536" customWidth="1"/>
    <col min="2" max="2" width="20.5" style="536" customWidth="1"/>
    <col min="3" max="3" width="23.125" style="536" customWidth="1"/>
    <col min="4" max="4" width="20.125" style="536" customWidth="1"/>
    <col min="5" max="5" width="21.125" style="536" customWidth="1"/>
    <col min="6" max="6" width="19.125" style="536" customWidth="1"/>
    <col min="7" max="7" width="20.125" style="536" customWidth="1"/>
    <col min="8" max="8" width="24.625" style="536" customWidth="1"/>
    <col min="9" max="256" width="9" style="536"/>
    <col min="257" max="257" width="23.625" style="536" customWidth="1"/>
    <col min="258" max="258" width="20.5" style="536" customWidth="1"/>
    <col min="259" max="259" width="23.125" style="536" customWidth="1"/>
    <col min="260" max="260" width="20.125" style="536" customWidth="1"/>
    <col min="261" max="261" width="21.125" style="536" customWidth="1"/>
    <col min="262" max="262" width="19.125" style="536" customWidth="1"/>
    <col min="263" max="263" width="20.125" style="536" customWidth="1"/>
    <col min="264" max="264" width="24.625" style="536" customWidth="1"/>
    <col min="265" max="512" width="9" style="536"/>
    <col min="513" max="513" width="23.625" style="536" customWidth="1"/>
    <col min="514" max="514" width="20.5" style="536" customWidth="1"/>
    <col min="515" max="515" width="23.125" style="536" customWidth="1"/>
    <col min="516" max="516" width="20.125" style="536" customWidth="1"/>
    <col min="517" max="517" width="21.125" style="536" customWidth="1"/>
    <col min="518" max="518" width="19.125" style="536" customWidth="1"/>
    <col min="519" max="519" width="20.125" style="536" customWidth="1"/>
    <col min="520" max="520" width="24.625" style="536" customWidth="1"/>
    <col min="521" max="768" width="9" style="536"/>
    <col min="769" max="769" width="23.625" style="536" customWidth="1"/>
    <col min="770" max="770" width="20.5" style="536" customWidth="1"/>
    <col min="771" max="771" width="23.125" style="536" customWidth="1"/>
    <col min="772" max="772" width="20.125" style="536" customWidth="1"/>
    <col min="773" max="773" width="21.125" style="536" customWidth="1"/>
    <col min="774" max="774" width="19.125" style="536" customWidth="1"/>
    <col min="775" max="775" width="20.125" style="536" customWidth="1"/>
    <col min="776" max="776" width="24.625" style="536" customWidth="1"/>
    <col min="777" max="1024" width="9" style="536"/>
    <col min="1025" max="1025" width="23.625" style="536" customWidth="1"/>
    <col min="1026" max="1026" width="20.5" style="536" customWidth="1"/>
    <col min="1027" max="1027" width="23.125" style="536" customWidth="1"/>
    <col min="1028" max="1028" width="20.125" style="536" customWidth="1"/>
    <col min="1029" max="1029" width="21.125" style="536" customWidth="1"/>
    <col min="1030" max="1030" width="19.125" style="536" customWidth="1"/>
    <col min="1031" max="1031" width="20.125" style="536" customWidth="1"/>
    <col min="1032" max="1032" width="24.625" style="536" customWidth="1"/>
    <col min="1033" max="1280" width="9" style="536"/>
    <col min="1281" max="1281" width="23.625" style="536" customWidth="1"/>
    <col min="1282" max="1282" width="20.5" style="536" customWidth="1"/>
    <col min="1283" max="1283" width="23.125" style="536" customWidth="1"/>
    <col min="1284" max="1284" width="20.125" style="536" customWidth="1"/>
    <col min="1285" max="1285" width="21.125" style="536" customWidth="1"/>
    <col min="1286" max="1286" width="19.125" style="536" customWidth="1"/>
    <col min="1287" max="1287" width="20.125" style="536" customWidth="1"/>
    <col min="1288" max="1288" width="24.625" style="536" customWidth="1"/>
    <col min="1289" max="1536" width="9" style="536"/>
    <col min="1537" max="1537" width="23.625" style="536" customWidth="1"/>
    <col min="1538" max="1538" width="20.5" style="536" customWidth="1"/>
    <col min="1539" max="1539" width="23.125" style="536" customWidth="1"/>
    <col min="1540" max="1540" width="20.125" style="536" customWidth="1"/>
    <col min="1541" max="1541" width="21.125" style="536" customWidth="1"/>
    <col min="1542" max="1542" width="19.125" style="536" customWidth="1"/>
    <col min="1543" max="1543" width="20.125" style="536" customWidth="1"/>
    <col min="1544" max="1544" width="24.625" style="536" customWidth="1"/>
    <col min="1545" max="1792" width="9" style="536"/>
    <col min="1793" max="1793" width="23.625" style="536" customWidth="1"/>
    <col min="1794" max="1794" width="20.5" style="536" customWidth="1"/>
    <col min="1795" max="1795" width="23.125" style="536" customWidth="1"/>
    <col min="1796" max="1796" width="20.125" style="536" customWidth="1"/>
    <col min="1797" max="1797" width="21.125" style="536" customWidth="1"/>
    <col min="1798" max="1798" width="19.125" style="536" customWidth="1"/>
    <col min="1799" max="1799" width="20.125" style="536" customWidth="1"/>
    <col min="1800" max="1800" width="24.625" style="536" customWidth="1"/>
    <col min="1801" max="2048" width="9" style="536"/>
    <col min="2049" max="2049" width="23.625" style="536" customWidth="1"/>
    <col min="2050" max="2050" width="20.5" style="536" customWidth="1"/>
    <col min="2051" max="2051" width="23.125" style="536" customWidth="1"/>
    <col min="2052" max="2052" width="20.125" style="536" customWidth="1"/>
    <col min="2053" max="2053" width="21.125" style="536" customWidth="1"/>
    <col min="2054" max="2054" width="19.125" style="536" customWidth="1"/>
    <col min="2055" max="2055" width="20.125" style="536" customWidth="1"/>
    <col min="2056" max="2056" width="24.625" style="536" customWidth="1"/>
    <col min="2057" max="2304" width="9" style="536"/>
    <col min="2305" max="2305" width="23.625" style="536" customWidth="1"/>
    <col min="2306" max="2306" width="20.5" style="536" customWidth="1"/>
    <col min="2307" max="2307" width="23.125" style="536" customWidth="1"/>
    <col min="2308" max="2308" width="20.125" style="536" customWidth="1"/>
    <col min="2309" max="2309" width="21.125" style="536" customWidth="1"/>
    <col min="2310" max="2310" width="19.125" style="536" customWidth="1"/>
    <col min="2311" max="2311" width="20.125" style="536" customWidth="1"/>
    <col min="2312" max="2312" width="24.625" style="536" customWidth="1"/>
    <col min="2313" max="2560" width="9" style="536"/>
    <col min="2561" max="2561" width="23.625" style="536" customWidth="1"/>
    <col min="2562" max="2562" width="20.5" style="536" customWidth="1"/>
    <col min="2563" max="2563" width="23.125" style="536" customWidth="1"/>
    <col min="2564" max="2564" width="20.125" style="536" customWidth="1"/>
    <col min="2565" max="2565" width="21.125" style="536" customWidth="1"/>
    <col min="2566" max="2566" width="19.125" style="536" customWidth="1"/>
    <col min="2567" max="2567" width="20.125" style="536" customWidth="1"/>
    <col min="2568" max="2568" width="24.625" style="536" customWidth="1"/>
    <col min="2569" max="2816" width="9" style="536"/>
    <col min="2817" max="2817" width="23.625" style="536" customWidth="1"/>
    <col min="2818" max="2818" width="20.5" style="536" customWidth="1"/>
    <col min="2819" max="2819" width="23.125" style="536" customWidth="1"/>
    <col min="2820" max="2820" width="20.125" style="536" customWidth="1"/>
    <col min="2821" max="2821" width="21.125" style="536" customWidth="1"/>
    <col min="2822" max="2822" width="19.125" style="536" customWidth="1"/>
    <col min="2823" max="2823" width="20.125" style="536" customWidth="1"/>
    <col min="2824" max="2824" width="24.625" style="536" customWidth="1"/>
    <col min="2825" max="3072" width="9" style="536"/>
    <col min="3073" max="3073" width="23.625" style="536" customWidth="1"/>
    <col min="3074" max="3074" width="20.5" style="536" customWidth="1"/>
    <col min="3075" max="3075" width="23.125" style="536" customWidth="1"/>
    <col min="3076" max="3076" width="20.125" style="536" customWidth="1"/>
    <col min="3077" max="3077" width="21.125" style="536" customWidth="1"/>
    <col min="3078" max="3078" width="19.125" style="536" customWidth="1"/>
    <col min="3079" max="3079" width="20.125" style="536" customWidth="1"/>
    <col min="3080" max="3080" width="24.625" style="536" customWidth="1"/>
    <col min="3081" max="3328" width="9" style="536"/>
    <col min="3329" max="3329" width="23.625" style="536" customWidth="1"/>
    <col min="3330" max="3330" width="20.5" style="536" customWidth="1"/>
    <col min="3331" max="3331" width="23.125" style="536" customWidth="1"/>
    <col min="3332" max="3332" width="20.125" style="536" customWidth="1"/>
    <col min="3333" max="3333" width="21.125" style="536" customWidth="1"/>
    <col min="3334" max="3334" width="19.125" style="536" customWidth="1"/>
    <col min="3335" max="3335" width="20.125" style="536" customWidth="1"/>
    <col min="3336" max="3336" width="24.625" style="536" customWidth="1"/>
    <col min="3337" max="3584" width="9" style="536"/>
    <col min="3585" max="3585" width="23.625" style="536" customWidth="1"/>
    <col min="3586" max="3586" width="20.5" style="536" customWidth="1"/>
    <col min="3587" max="3587" width="23.125" style="536" customWidth="1"/>
    <col min="3588" max="3588" width="20.125" style="536" customWidth="1"/>
    <col min="3589" max="3589" width="21.125" style="536" customWidth="1"/>
    <col min="3590" max="3590" width="19.125" style="536" customWidth="1"/>
    <col min="3591" max="3591" width="20.125" style="536" customWidth="1"/>
    <col min="3592" max="3592" width="24.625" style="536" customWidth="1"/>
    <col min="3593" max="3840" width="9" style="536"/>
    <col min="3841" max="3841" width="23.625" style="536" customWidth="1"/>
    <col min="3842" max="3842" width="20.5" style="536" customWidth="1"/>
    <col min="3843" max="3843" width="23.125" style="536" customWidth="1"/>
    <col min="3844" max="3844" width="20.125" style="536" customWidth="1"/>
    <col min="3845" max="3845" width="21.125" style="536" customWidth="1"/>
    <col min="3846" max="3846" width="19.125" style="536" customWidth="1"/>
    <col min="3847" max="3847" width="20.125" style="536" customWidth="1"/>
    <col min="3848" max="3848" width="24.625" style="536" customWidth="1"/>
    <col min="3849" max="4096" width="9" style="536"/>
    <col min="4097" max="4097" width="23.625" style="536" customWidth="1"/>
    <col min="4098" max="4098" width="20.5" style="536" customWidth="1"/>
    <col min="4099" max="4099" width="23.125" style="536" customWidth="1"/>
    <col min="4100" max="4100" width="20.125" style="536" customWidth="1"/>
    <col min="4101" max="4101" width="21.125" style="536" customWidth="1"/>
    <col min="4102" max="4102" width="19.125" style="536" customWidth="1"/>
    <col min="4103" max="4103" width="20.125" style="536" customWidth="1"/>
    <col min="4104" max="4104" width="24.625" style="536" customWidth="1"/>
    <col min="4105" max="4352" width="9" style="536"/>
    <col min="4353" max="4353" width="23.625" style="536" customWidth="1"/>
    <col min="4354" max="4354" width="20.5" style="536" customWidth="1"/>
    <col min="4355" max="4355" width="23.125" style="536" customWidth="1"/>
    <col min="4356" max="4356" width="20.125" style="536" customWidth="1"/>
    <col min="4357" max="4357" width="21.125" style="536" customWidth="1"/>
    <col min="4358" max="4358" width="19.125" style="536" customWidth="1"/>
    <col min="4359" max="4359" width="20.125" style="536" customWidth="1"/>
    <col min="4360" max="4360" width="24.625" style="536" customWidth="1"/>
    <col min="4361" max="4608" width="9" style="536"/>
    <col min="4609" max="4609" width="23.625" style="536" customWidth="1"/>
    <col min="4610" max="4610" width="20.5" style="536" customWidth="1"/>
    <col min="4611" max="4611" width="23.125" style="536" customWidth="1"/>
    <col min="4612" max="4612" width="20.125" style="536" customWidth="1"/>
    <col min="4613" max="4613" width="21.125" style="536" customWidth="1"/>
    <col min="4614" max="4614" width="19.125" style="536" customWidth="1"/>
    <col min="4615" max="4615" width="20.125" style="536" customWidth="1"/>
    <col min="4616" max="4616" width="24.625" style="536" customWidth="1"/>
    <col min="4617" max="4864" width="9" style="536"/>
    <col min="4865" max="4865" width="23.625" style="536" customWidth="1"/>
    <col min="4866" max="4866" width="20.5" style="536" customWidth="1"/>
    <col min="4867" max="4867" width="23.125" style="536" customWidth="1"/>
    <col min="4868" max="4868" width="20.125" style="536" customWidth="1"/>
    <col min="4869" max="4869" width="21.125" style="536" customWidth="1"/>
    <col min="4870" max="4870" width="19.125" style="536" customWidth="1"/>
    <col min="4871" max="4871" width="20.125" style="536" customWidth="1"/>
    <col min="4872" max="4872" width="24.625" style="536" customWidth="1"/>
    <col min="4873" max="5120" width="9" style="536"/>
    <col min="5121" max="5121" width="23.625" style="536" customWidth="1"/>
    <col min="5122" max="5122" width="20.5" style="536" customWidth="1"/>
    <col min="5123" max="5123" width="23.125" style="536" customWidth="1"/>
    <col min="5124" max="5124" width="20.125" style="536" customWidth="1"/>
    <col min="5125" max="5125" width="21.125" style="536" customWidth="1"/>
    <col min="5126" max="5126" width="19.125" style="536" customWidth="1"/>
    <col min="5127" max="5127" width="20.125" style="536" customWidth="1"/>
    <col min="5128" max="5128" width="24.625" style="536" customWidth="1"/>
    <col min="5129" max="5376" width="9" style="536"/>
    <col min="5377" max="5377" width="23.625" style="536" customWidth="1"/>
    <col min="5378" max="5378" width="20.5" style="536" customWidth="1"/>
    <col min="5379" max="5379" width="23.125" style="536" customWidth="1"/>
    <col min="5380" max="5380" width="20.125" style="536" customWidth="1"/>
    <col min="5381" max="5381" width="21.125" style="536" customWidth="1"/>
    <col min="5382" max="5382" width="19.125" style="536" customWidth="1"/>
    <col min="5383" max="5383" width="20.125" style="536" customWidth="1"/>
    <col min="5384" max="5384" width="24.625" style="536" customWidth="1"/>
    <col min="5385" max="5632" width="9" style="536"/>
    <col min="5633" max="5633" width="23.625" style="536" customWidth="1"/>
    <col min="5634" max="5634" width="20.5" style="536" customWidth="1"/>
    <col min="5635" max="5635" width="23.125" style="536" customWidth="1"/>
    <col min="5636" max="5636" width="20.125" style="536" customWidth="1"/>
    <col min="5637" max="5637" width="21.125" style="536" customWidth="1"/>
    <col min="5638" max="5638" width="19.125" style="536" customWidth="1"/>
    <col min="5639" max="5639" width="20.125" style="536" customWidth="1"/>
    <col min="5640" max="5640" width="24.625" style="536" customWidth="1"/>
    <col min="5641" max="5888" width="9" style="536"/>
    <col min="5889" max="5889" width="23.625" style="536" customWidth="1"/>
    <col min="5890" max="5890" width="20.5" style="536" customWidth="1"/>
    <col min="5891" max="5891" width="23.125" style="536" customWidth="1"/>
    <col min="5892" max="5892" width="20.125" style="536" customWidth="1"/>
    <col min="5893" max="5893" width="21.125" style="536" customWidth="1"/>
    <col min="5894" max="5894" width="19.125" style="536" customWidth="1"/>
    <col min="5895" max="5895" width="20.125" style="536" customWidth="1"/>
    <col min="5896" max="5896" width="24.625" style="536" customWidth="1"/>
    <col min="5897" max="6144" width="9" style="536"/>
    <col min="6145" max="6145" width="23.625" style="536" customWidth="1"/>
    <col min="6146" max="6146" width="20.5" style="536" customWidth="1"/>
    <col min="6147" max="6147" width="23.125" style="536" customWidth="1"/>
    <col min="6148" max="6148" width="20.125" style="536" customWidth="1"/>
    <col min="6149" max="6149" width="21.125" style="536" customWidth="1"/>
    <col min="6150" max="6150" width="19.125" style="536" customWidth="1"/>
    <col min="6151" max="6151" width="20.125" style="536" customWidth="1"/>
    <col min="6152" max="6152" width="24.625" style="536" customWidth="1"/>
    <col min="6153" max="6400" width="9" style="536"/>
    <col min="6401" max="6401" width="23.625" style="536" customWidth="1"/>
    <col min="6402" max="6402" width="20.5" style="536" customWidth="1"/>
    <col min="6403" max="6403" width="23.125" style="536" customWidth="1"/>
    <col min="6404" max="6404" width="20.125" style="536" customWidth="1"/>
    <col min="6405" max="6405" width="21.125" style="536" customWidth="1"/>
    <col min="6406" max="6406" width="19.125" style="536" customWidth="1"/>
    <col min="6407" max="6407" width="20.125" style="536" customWidth="1"/>
    <col min="6408" max="6408" width="24.625" style="536" customWidth="1"/>
    <col min="6409" max="6656" width="9" style="536"/>
    <col min="6657" max="6657" width="23.625" style="536" customWidth="1"/>
    <col min="6658" max="6658" width="20.5" style="536" customWidth="1"/>
    <col min="6659" max="6659" width="23.125" style="536" customWidth="1"/>
    <col min="6660" max="6660" width="20.125" style="536" customWidth="1"/>
    <col min="6661" max="6661" width="21.125" style="536" customWidth="1"/>
    <col min="6662" max="6662" width="19.125" style="536" customWidth="1"/>
    <col min="6663" max="6663" width="20.125" style="536" customWidth="1"/>
    <col min="6664" max="6664" width="24.625" style="536" customWidth="1"/>
    <col min="6665" max="6912" width="9" style="536"/>
    <col min="6913" max="6913" width="23.625" style="536" customWidth="1"/>
    <col min="6914" max="6914" width="20.5" style="536" customWidth="1"/>
    <col min="6915" max="6915" width="23.125" style="536" customWidth="1"/>
    <col min="6916" max="6916" width="20.125" style="536" customWidth="1"/>
    <col min="6917" max="6917" width="21.125" style="536" customWidth="1"/>
    <col min="6918" max="6918" width="19.125" style="536" customWidth="1"/>
    <col min="6919" max="6919" width="20.125" style="536" customWidth="1"/>
    <col min="6920" max="6920" width="24.625" style="536" customWidth="1"/>
    <col min="6921" max="7168" width="9" style="536"/>
    <col min="7169" max="7169" width="23.625" style="536" customWidth="1"/>
    <col min="7170" max="7170" width="20.5" style="536" customWidth="1"/>
    <col min="7171" max="7171" width="23.125" style="536" customWidth="1"/>
    <col min="7172" max="7172" width="20.125" style="536" customWidth="1"/>
    <col min="7173" max="7173" width="21.125" style="536" customWidth="1"/>
    <col min="7174" max="7174" width="19.125" style="536" customWidth="1"/>
    <col min="7175" max="7175" width="20.125" style="536" customWidth="1"/>
    <col min="7176" max="7176" width="24.625" style="536" customWidth="1"/>
    <col min="7177" max="7424" width="9" style="536"/>
    <col min="7425" max="7425" width="23.625" style="536" customWidth="1"/>
    <col min="7426" max="7426" width="20.5" style="536" customWidth="1"/>
    <col min="7427" max="7427" width="23.125" style="536" customWidth="1"/>
    <col min="7428" max="7428" width="20.125" style="536" customWidth="1"/>
    <col min="7429" max="7429" width="21.125" style="536" customWidth="1"/>
    <col min="7430" max="7430" width="19.125" style="536" customWidth="1"/>
    <col min="7431" max="7431" width="20.125" style="536" customWidth="1"/>
    <col min="7432" max="7432" width="24.625" style="536" customWidth="1"/>
    <col min="7433" max="7680" width="9" style="536"/>
    <col min="7681" max="7681" width="23.625" style="536" customWidth="1"/>
    <col min="7682" max="7682" width="20.5" style="536" customWidth="1"/>
    <col min="7683" max="7683" width="23.125" style="536" customWidth="1"/>
    <col min="7684" max="7684" width="20.125" style="536" customWidth="1"/>
    <col min="7685" max="7685" width="21.125" style="536" customWidth="1"/>
    <col min="7686" max="7686" width="19.125" style="536" customWidth="1"/>
    <col min="7687" max="7687" width="20.125" style="536" customWidth="1"/>
    <col min="7688" max="7688" width="24.625" style="536" customWidth="1"/>
    <col min="7689" max="7936" width="9" style="536"/>
    <col min="7937" max="7937" width="23.625" style="536" customWidth="1"/>
    <col min="7938" max="7938" width="20.5" style="536" customWidth="1"/>
    <col min="7939" max="7939" width="23.125" style="536" customWidth="1"/>
    <col min="7940" max="7940" width="20.125" style="536" customWidth="1"/>
    <col min="7941" max="7941" width="21.125" style="536" customWidth="1"/>
    <col min="7942" max="7942" width="19.125" style="536" customWidth="1"/>
    <col min="7943" max="7943" width="20.125" style="536" customWidth="1"/>
    <col min="7944" max="7944" width="24.625" style="536" customWidth="1"/>
    <col min="7945" max="8192" width="9" style="536"/>
    <col min="8193" max="8193" width="23.625" style="536" customWidth="1"/>
    <col min="8194" max="8194" width="20.5" style="536" customWidth="1"/>
    <col min="8195" max="8195" width="23.125" style="536" customWidth="1"/>
    <col min="8196" max="8196" width="20.125" style="536" customWidth="1"/>
    <col min="8197" max="8197" width="21.125" style="536" customWidth="1"/>
    <col min="8198" max="8198" width="19.125" style="536" customWidth="1"/>
    <col min="8199" max="8199" width="20.125" style="536" customWidth="1"/>
    <col min="8200" max="8200" width="24.625" style="536" customWidth="1"/>
    <col min="8201" max="8448" width="9" style="536"/>
    <col min="8449" max="8449" width="23.625" style="536" customWidth="1"/>
    <col min="8450" max="8450" width="20.5" style="536" customWidth="1"/>
    <col min="8451" max="8451" width="23.125" style="536" customWidth="1"/>
    <col min="8452" max="8452" width="20.125" style="536" customWidth="1"/>
    <col min="8453" max="8453" width="21.125" style="536" customWidth="1"/>
    <col min="8454" max="8454" width="19.125" style="536" customWidth="1"/>
    <col min="8455" max="8455" width="20.125" style="536" customWidth="1"/>
    <col min="8456" max="8456" width="24.625" style="536" customWidth="1"/>
    <col min="8457" max="8704" width="9" style="536"/>
    <col min="8705" max="8705" width="23.625" style="536" customWidth="1"/>
    <col min="8706" max="8706" width="20.5" style="536" customWidth="1"/>
    <col min="8707" max="8707" width="23.125" style="536" customWidth="1"/>
    <col min="8708" max="8708" width="20.125" style="536" customWidth="1"/>
    <col min="8709" max="8709" width="21.125" style="536" customWidth="1"/>
    <col min="8710" max="8710" width="19.125" style="536" customWidth="1"/>
    <col min="8711" max="8711" width="20.125" style="536" customWidth="1"/>
    <col min="8712" max="8712" width="24.625" style="536" customWidth="1"/>
    <col min="8713" max="8960" width="9" style="536"/>
    <col min="8961" max="8961" width="23.625" style="536" customWidth="1"/>
    <col min="8962" max="8962" width="20.5" style="536" customWidth="1"/>
    <col min="8963" max="8963" width="23.125" style="536" customWidth="1"/>
    <col min="8964" max="8964" width="20.125" style="536" customWidth="1"/>
    <col min="8965" max="8965" width="21.125" style="536" customWidth="1"/>
    <col min="8966" max="8966" width="19.125" style="536" customWidth="1"/>
    <col min="8967" max="8967" width="20.125" style="536" customWidth="1"/>
    <col min="8968" max="8968" width="24.625" style="536" customWidth="1"/>
    <col min="8969" max="9216" width="9" style="536"/>
    <col min="9217" max="9217" width="23.625" style="536" customWidth="1"/>
    <col min="9218" max="9218" width="20.5" style="536" customWidth="1"/>
    <col min="9219" max="9219" width="23.125" style="536" customWidth="1"/>
    <col min="9220" max="9220" width="20.125" style="536" customWidth="1"/>
    <col min="9221" max="9221" width="21.125" style="536" customWidth="1"/>
    <col min="9222" max="9222" width="19.125" style="536" customWidth="1"/>
    <col min="9223" max="9223" width="20.125" style="536" customWidth="1"/>
    <col min="9224" max="9224" width="24.625" style="536" customWidth="1"/>
    <col min="9225" max="9472" width="9" style="536"/>
    <col min="9473" max="9473" width="23.625" style="536" customWidth="1"/>
    <col min="9474" max="9474" width="20.5" style="536" customWidth="1"/>
    <col min="9475" max="9475" width="23.125" style="536" customWidth="1"/>
    <col min="9476" max="9476" width="20.125" style="536" customWidth="1"/>
    <col min="9477" max="9477" width="21.125" style="536" customWidth="1"/>
    <col min="9478" max="9478" width="19.125" style="536" customWidth="1"/>
    <col min="9479" max="9479" width="20.125" style="536" customWidth="1"/>
    <col min="9480" max="9480" width="24.625" style="536" customWidth="1"/>
    <col min="9481" max="9728" width="9" style="536"/>
    <col min="9729" max="9729" width="23.625" style="536" customWidth="1"/>
    <col min="9730" max="9730" width="20.5" style="536" customWidth="1"/>
    <col min="9731" max="9731" width="23.125" style="536" customWidth="1"/>
    <col min="9732" max="9732" width="20.125" style="536" customWidth="1"/>
    <col min="9733" max="9733" width="21.125" style="536" customWidth="1"/>
    <col min="9734" max="9734" width="19.125" style="536" customWidth="1"/>
    <col min="9735" max="9735" width="20.125" style="536" customWidth="1"/>
    <col min="9736" max="9736" width="24.625" style="536" customWidth="1"/>
    <col min="9737" max="9984" width="9" style="536"/>
    <col min="9985" max="9985" width="23.625" style="536" customWidth="1"/>
    <col min="9986" max="9986" width="20.5" style="536" customWidth="1"/>
    <col min="9987" max="9987" width="23.125" style="536" customWidth="1"/>
    <col min="9988" max="9988" width="20.125" style="536" customWidth="1"/>
    <col min="9989" max="9989" width="21.125" style="536" customWidth="1"/>
    <col min="9990" max="9990" width="19.125" style="536" customWidth="1"/>
    <col min="9991" max="9991" width="20.125" style="536" customWidth="1"/>
    <col min="9992" max="9992" width="24.625" style="536" customWidth="1"/>
    <col min="9993" max="10240" width="9" style="536"/>
    <col min="10241" max="10241" width="23.625" style="536" customWidth="1"/>
    <col min="10242" max="10242" width="20.5" style="536" customWidth="1"/>
    <col min="10243" max="10243" width="23.125" style="536" customWidth="1"/>
    <col min="10244" max="10244" width="20.125" style="536" customWidth="1"/>
    <col min="10245" max="10245" width="21.125" style="536" customWidth="1"/>
    <col min="10246" max="10246" width="19.125" style="536" customWidth="1"/>
    <col min="10247" max="10247" width="20.125" style="536" customWidth="1"/>
    <col min="10248" max="10248" width="24.625" style="536" customWidth="1"/>
    <col min="10249" max="10496" width="9" style="536"/>
    <col min="10497" max="10497" width="23.625" style="536" customWidth="1"/>
    <col min="10498" max="10498" width="20.5" style="536" customWidth="1"/>
    <col min="10499" max="10499" width="23.125" style="536" customWidth="1"/>
    <col min="10500" max="10500" width="20.125" style="536" customWidth="1"/>
    <col min="10501" max="10501" width="21.125" style="536" customWidth="1"/>
    <col min="10502" max="10502" width="19.125" style="536" customWidth="1"/>
    <col min="10503" max="10503" width="20.125" style="536" customWidth="1"/>
    <col min="10504" max="10504" width="24.625" style="536" customWidth="1"/>
    <col min="10505" max="10752" width="9" style="536"/>
    <col min="10753" max="10753" width="23.625" style="536" customWidth="1"/>
    <col min="10754" max="10754" width="20.5" style="536" customWidth="1"/>
    <col min="10755" max="10755" width="23.125" style="536" customWidth="1"/>
    <col min="10756" max="10756" width="20.125" style="536" customWidth="1"/>
    <col min="10757" max="10757" width="21.125" style="536" customWidth="1"/>
    <col min="10758" max="10758" width="19.125" style="536" customWidth="1"/>
    <col min="10759" max="10759" width="20.125" style="536" customWidth="1"/>
    <col min="10760" max="10760" width="24.625" style="536" customWidth="1"/>
    <col min="10761" max="11008" width="9" style="536"/>
    <col min="11009" max="11009" width="23.625" style="536" customWidth="1"/>
    <col min="11010" max="11010" width="20.5" style="536" customWidth="1"/>
    <col min="11011" max="11011" width="23.125" style="536" customWidth="1"/>
    <col min="11012" max="11012" width="20.125" style="536" customWidth="1"/>
    <col min="11013" max="11013" width="21.125" style="536" customWidth="1"/>
    <col min="11014" max="11014" width="19.125" style="536" customWidth="1"/>
    <col min="11015" max="11015" width="20.125" style="536" customWidth="1"/>
    <col min="11016" max="11016" width="24.625" style="536" customWidth="1"/>
    <col min="11017" max="11264" width="9" style="536"/>
    <col min="11265" max="11265" width="23.625" style="536" customWidth="1"/>
    <col min="11266" max="11266" width="20.5" style="536" customWidth="1"/>
    <col min="11267" max="11267" width="23.125" style="536" customWidth="1"/>
    <col min="11268" max="11268" width="20.125" style="536" customWidth="1"/>
    <col min="11269" max="11269" width="21.125" style="536" customWidth="1"/>
    <col min="11270" max="11270" width="19.125" style="536" customWidth="1"/>
    <col min="11271" max="11271" width="20.125" style="536" customWidth="1"/>
    <col min="11272" max="11272" width="24.625" style="536" customWidth="1"/>
    <col min="11273" max="11520" width="9" style="536"/>
    <col min="11521" max="11521" width="23.625" style="536" customWidth="1"/>
    <col min="11522" max="11522" width="20.5" style="536" customWidth="1"/>
    <col min="11523" max="11523" width="23.125" style="536" customWidth="1"/>
    <col min="11524" max="11524" width="20.125" style="536" customWidth="1"/>
    <col min="11525" max="11525" width="21.125" style="536" customWidth="1"/>
    <col min="11526" max="11526" width="19.125" style="536" customWidth="1"/>
    <col min="11527" max="11527" width="20.125" style="536" customWidth="1"/>
    <col min="11528" max="11528" width="24.625" style="536" customWidth="1"/>
    <col min="11529" max="11776" width="9" style="536"/>
    <col min="11777" max="11777" width="23.625" style="536" customWidth="1"/>
    <col min="11778" max="11778" width="20.5" style="536" customWidth="1"/>
    <col min="11779" max="11779" width="23.125" style="536" customWidth="1"/>
    <col min="11780" max="11780" width="20.125" style="536" customWidth="1"/>
    <col min="11781" max="11781" width="21.125" style="536" customWidth="1"/>
    <col min="11782" max="11782" width="19.125" style="536" customWidth="1"/>
    <col min="11783" max="11783" width="20.125" style="536" customWidth="1"/>
    <col min="11784" max="11784" width="24.625" style="536" customWidth="1"/>
    <col min="11785" max="12032" width="9" style="536"/>
    <col min="12033" max="12033" width="23.625" style="536" customWidth="1"/>
    <col min="12034" max="12034" width="20.5" style="536" customWidth="1"/>
    <col min="12035" max="12035" width="23.125" style="536" customWidth="1"/>
    <col min="12036" max="12036" width="20.125" style="536" customWidth="1"/>
    <col min="12037" max="12037" width="21.125" style="536" customWidth="1"/>
    <col min="12038" max="12038" width="19.125" style="536" customWidth="1"/>
    <col min="12039" max="12039" width="20.125" style="536" customWidth="1"/>
    <col min="12040" max="12040" width="24.625" style="536" customWidth="1"/>
    <col min="12041" max="12288" width="9" style="536"/>
    <col min="12289" max="12289" width="23.625" style="536" customWidth="1"/>
    <col min="12290" max="12290" width="20.5" style="536" customWidth="1"/>
    <col min="12291" max="12291" width="23.125" style="536" customWidth="1"/>
    <col min="12292" max="12292" width="20.125" style="536" customWidth="1"/>
    <col min="12293" max="12293" width="21.125" style="536" customWidth="1"/>
    <col min="12294" max="12294" width="19.125" style="536" customWidth="1"/>
    <col min="12295" max="12295" width="20.125" style="536" customWidth="1"/>
    <col min="12296" max="12296" width="24.625" style="536" customWidth="1"/>
    <col min="12297" max="12544" width="9" style="536"/>
    <col min="12545" max="12545" width="23.625" style="536" customWidth="1"/>
    <col min="12546" max="12546" width="20.5" style="536" customWidth="1"/>
    <col min="12547" max="12547" width="23.125" style="536" customWidth="1"/>
    <col min="12548" max="12548" width="20.125" style="536" customWidth="1"/>
    <col min="12549" max="12549" width="21.125" style="536" customWidth="1"/>
    <col min="12550" max="12550" width="19.125" style="536" customWidth="1"/>
    <col min="12551" max="12551" width="20.125" style="536" customWidth="1"/>
    <col min="12552" max="12552" width="24.625" style="536" customWidth="1"/>
    <col min="12553" max="12800" width="9" style="536"/>
    <col min="12801" max="12801" width="23.625" style="536" customWidth="1"/>
    <col min="12802" max="12802" width="20.5" style="536" customWidth="1"/>
    <col min="12803" max="12803" width="23.125" style="536" customWidth="1"/>
    <col min="12804" max="12804" width="20.125" style="536" customWidth="1"/>
    <col min="12805" max="12805" width="21.125" style="536" customWidth="1"/>
    <col min="12806" max="12806" width="19.125" style="536" customWidth="1"/>
    <col min="12807" max="12807" width="20.125" style="536" customWidth="1"/>
    <col min="12808" max="12808" width="24.625" style="536" customWidth="1"/>
    <col min="12809" max="13056" width="9" style="536"/>
    <col min="13057" max="13057" width="23.625" style="536" customWidth="1"/>
    <col min="13058" max="13058" width="20.5" style="536" customWidth="1"/>
    <col min="13059" max="13059" width="23.125" style="536" customWidth="1"/>
    <col min="13060" max="13060" width="20.125" style="536" customWidth="1"/>
    <col min="13061" max="13061" width="21.125" style="536" customWidth="1"/>
    <col min="13062" max="13062" width="19.125" style="536" customWidth="1"/>
    <col min="13063" max="13063" width="20.125" style="536" customWidth="1"/>
    <col min="13064" max="13064" width="24.625" style="536" customWidth="1"/>
    <col min="13065" max="13312" width="9" style="536"/>
    <col min="13313" max="13313" width="23.625" style="536" customWidth="1"/>
    <col min="13314" max="13314" width="20.5" style="536" customWidth="1"/>
    <col min="13315" max="13315" width="23.125" style="536" customWidth="1"/>
    <col min="13316" max="13316" width="20.125" style="536" customWidth="1"/>
    <col min="13317" max="13317" width="21.125" style="536" customWidth="1"/>
    <col min="13318" max="13318" width="19.125" style="536" customWidth="1"/>
    <col min="13319" max="13319" width="20.125" style="536" customWidth="1"/>
    <col min="13320" max="13320" width="24.625" style="536" customWidth="1"/>
    <col min="13321" max="13568" width="9" style="536"/>
    <col min="13569" max="13569" width="23.625" style="536" customWidth="1"/>
    <col min="13570" max="13570" width="20.5" style="536" customWidth="1"/>
    <col min="13571" max="13571" width="23.125" style="536" customWidth="1"/>
    <col min="13572" max="13572" width="20.125" style="536" customWidth="1"/>
    <col min="13573" max="13573" width="21.125" style="536" customWidth="1"/>
    <col min="13574" max="13574" width="19.125" style="536" customWidth="1"/>
    <col min="13575" max="13575" width="20.125" style="536" customWidth="1"/>
    <col min="13576" max="13576" width="24.625" style="536" customWidth="1"/>
    <col min="13577" max="13824" width="9" style="536"/>
    <col min="13825" max="13825" width="23.625" style="536" customWidth="1"/>
    <col min="13826" max="13826" width="20.5" style="536" customWidth="1"/>
    <col min="13827" max="13827" width="23.125" style="536" customWidth="1"/>
    <col min="13828" max="13828" width="20.125" style="536" customWidth="1"/>
    <col min="13829" max="13829" width="21.125" style="536" customWidth="1"/>
    <col min="13830" max="13830" width="19.125" style="536" customWidth="1"/>
    <col min="13831" max="13831" width="20.125" style="536" customWidth="1"/>
    <col min="13832" max="13832" width="24.625" style="536" customWidth="1"/>
    <col min="13833" max="14080" width="9" style="536"/>
    <col min="14081" max="14081" width="23.625" style="536" customWidth="1"/>
    <col min="14082" max="14082" width="20.5" style="536" customWidth="1"/>
    <col min="14083" max="14083" width="23.125" style="536" customWidth="1"/>
    <col min="14084" max="14084" width="20.125" style="536" customWidth="1"/>
    <col min="14085" max="14085" width="21.125" style="536" customWidth="1"/>
    <col min="14086" max="14086" width="19.125" style="536" customWidth="1"/>
    <col min="14087" max="14087" width="20.125" style="536" customWidth="1"/>
    <col min="14088" max="14088" width="24.625" style="536" customWidth="1"/>
    <col min="14089" max="14336" width="9" style="536"/>
    <col min="14337" max="14337" width="23.625" style="536" customWidth="1"/>
    <col min="14338" max="14338" width="20.5" style="536" customWidth="1"/>
    <col min="14339" max="14339" width="23.125" style="536" customWidth="1"/>
    <col min="14340" max="14340" width="20.125" style="536" customWidth="1"/>
    <col min="14341" max="14341" width="21.125" style="536" customWidth="1"/>
    <col min="14342" max="14342" width="19.125" style="536" customWidth="1"/>
    <col min="14343" max="14343" width="20.125" style="536" customWidth="1"/>
    <col min="14344" max="14344" width="24.625" style="536" customWidth="1"/>
    <col min="14345" max="14592" width="9" style="536"/>
    <col min="14593" max="14593" width="23.625" style="536" customWidth="1"/>
    <col min="14594" max="14594" width="20.5" style="536" customWidth="1"/>
    <col min="14595" max="14595" width="23.125" style="536" customWidth="1"/>
    <col min="14596" max="14596" width="20.125" style="536" customWidth="1"/>
    <col min="14597" max="14597" width="21.125" style="536" customWidth="1"/>
    <col min="14598" max="14598" width="19.125" style="536" customWidth="1"/>
    <col min="14599" max="14599" width="20.125" style="536" customWidth="1"/>
    <col min="14600" max="14600" width="24.625" style="536" customWidth="1"/>
    <col min="14601" max="14848" width="9" style="536"/>
    <col min="14849" max="14849" width="23.625" style="536" customWidth="1"/>
    <col min="14850" max="14850" width="20.5" style="536" customWidth="1"/>
    <col min="14851" max="14851" width="23.125" style="536" customWidth="1"/>
    <col min="14852" max="14852" width="20.125" style="536" customWidth="1"/>
    <col min="14853" max="14853" width="21.125" style="536" customWidth="1"/>
    <col min="14854" max="14854" width="19.125" style="536" customWidth="1"/>
    <col min="14855" max="14855" width="20.125" style="536" customWidth="1"/>
    <col min="14856" max="14856" width="24.625" style="536" customWidth="1"/>
    <col min="14857" max="15104" width="9" style="536"/>
    <col min="15105" max="15105" width="23.625" style="536" customWidth="1"/>
    <col min="15106" max="15106" width="20.5" style="536" customWidth="1"/>
    <col min="15107" max="15107" width="23.125" style="536" customWidth="1"/>
    <col min="15108" max="15108" width="20.125" style="536" customWidth="1"/>
    <col min="15109" max="15109" width="21.125" style="536" customWidth="1"/>
    <col min="15110" max="15110" width="19.125" style="536" customWidth="1"/>
    <col min="15111" max="15111" width="20.125" style="536" customWidth="1"/>
    <col min="15112" max="15112" width="24.625" style="536" customWidth="1"/>
    <col min="15113" max="15360" width="9" style="536"/>
    <col min="15361" max="15361" width="23.625" style="536" customWidth="1"/>
    <col min="15362" max="15362" width="20.5" style="536" customWidth="1"/>
    <col min="15363" max="15363" width="23.125" style="536" customWidth="1"/>
    <col min="15364" max="15364" width="20.125" style="536" customWidth="1"/>
    <col min="15365" max="15365" width="21.125" style="536" customWidth="1"/>
    <col min="15366" max="15366" width="19.125" style="536" customWidth="1"/>
    <col min="15367" max="15367" width="20.125" style="536" customWidth="1"/>
    <col min="15368" max="15368" width="24.625" style="536" customWidth="1"/>
    <col min="15369" max="15616" width="9" style="536"/>
    <col min="15617" max="15617" width="23.625" style="536" customWidth="1"/>
    <col min="15618" max="15618" width="20.5" style="536" customWidth="1"/>
    <col min="15619" max="15619" width="23.125" style="536" customWidth="1"/>
    <col min="15620" max="15620" width="20.125" style="536" customWidth="1"/>
    <col min="15621" max="15621" width="21.125" style="536" customWidth="1"/>
    <col min="15622" max="15622" width="19.125" style="536" customWidth="1"/>
    <col min="15623" max="15623" width="20.125" style="536" customWidth="1"/>
    <col min="15624" max="15624" width="24.625" style="536" customWidth="1"/>
    <col min="15625" max="15872" width="9" style="536"/>
    <col min="15873" max="15873" width="23.625" style="536" customWidth="1"/>
    <col min="15874" max="15874" width="20.5" style="536" customWidth="1"/>
    <col min="15875" max="15875" width="23.125" style="536" customWidth="1"/>
    <col min="15876" max="15876" width="20.125" style="536" customWidth="1"/>
    <col min="15877" max="15877" width="21.125" style="536" customWidth="1"/>
    <col min="15878" max="15878" width="19.125" style="536" customWidth="1"/>
    <col min="15879" max="15879" width="20.125" style="536" customWidth="1"/>
    <col min="15880" max="15880" width="24.625" style="536" customWidth="1"/>
    <col min="15881" max="16128" width="9" style="536"/>
    <col min="16129" max="16129" width="23.625" style="536" customWidth="1"/>
    <col min="16130" max="16130" width="20.5" style="536" customWidth="1"/>
    <col min="16131" max="16131" width="23.125" style="536" customWidth="1"/>
    <col min="16132" max="16132" width="20.125" style="536" customWidth="1"/>
    <col min="16133" max="16133" width="21.125" style="536" customWidth="1"/>
    <col min="16134" max="16134" width="19.125" style="536" customWidth="1"/>
    <col min="16135" max="16135" width="20.125" style="536" customWidth="1"/>
    <col min="16136" max="16136" width="24.625" style="536" customWidth="1"/>
    <col min="16137" max="16384" width="9" style="536"/>
  </cols>
  <sheetData>
    <row r="1" spans="1:8" s="775" customFormat="1" ht="28.5" customHeight="1">
      <c r="A1" s="771"/>
      <c r="B1" s="771"/>
      <c r="C1" s="771"/>
      <c r="D1" s="772" t="s">
        <v>1046</v>
      </c>
      <c r="E1" s="773" t="s">
        <v>1047</v>
      </c>
      <c r="F1" s="771"/>
      <c r="G1" s="774"/>
      <c r="H1" s="774"/>
    </row>
    <row r="2" spans="1:8" s="530" customFormat="1" ht="27.75" customHeight="1">
      <c r="A2" s="1154" t="s">
        <v>764</v>
      </c>
      <c r="B2" s="1154"/>
      <c r="C2" s="1154"/>
      <c r="D2" s="1154"/>
      <c r="E2" s="531" t="s">
        <v>765</v>
      </c>
      <c r="F2" s="531"/>
      <c r="G2" s="532"/>
      <c r="H2" s="532"/>
    </row>
    <row r="3" spans="1:8" ht="21" customHeight="1">
      <c r="A3" s="533"/>
      <c r="B3" s="534"/>
      <c r="C3" s="534"/>
      <c r="D3" s="533"/>
      <c r="E3" s="534"/>
      <c r="F3" s="534"/>
      <c r="G3" s="534"/>
      <c r="H3" s="535" t="s">
        <v>766</v>
      </c>
    </row>
    <row r="4" spans="1:8" ht="36" customHeight="1">
      <c r="A4" s="1152" t="s">
        <v>767</v>
      </c>
      <c r="B4" s="537" t="s">
        <v>768</v>
      </c>
      <c r="C4" s="1155" t="s">
        <v>769</v>
      </c>
      <c r="D4" s="1152" t="s">
        <v>770</v>
      </c>
      <c r="E4" s="537" t="s">
        <v>771</v>
      </c>
      <c r="F4" s="1152" t="s">
        <v>772</v>
      </c>
      <c r="G4" s="1152" t="s">
        <v>773</v>
      </c>
      <c r="H4" s="537" t="s">
        <v>774</v>
      </c>
    </row>
    <row r="5" spans="1:8" ht="35.25" customHeight="1">
      <c r="A5" s="1153"/>
      <c r="B5" s="538" t="s">
        <v>775</v>
      </c>
      <c r="C5" s="1153"/>
      <c r="D5" s="1153"/>
      <c r="E5" s="538" t="s">
        <v>776</v>
      </c>
      <c r="F5" s="1153"/>
      <c r="G5" s="1153"/>
      <c r="H5" s="538" t="s">
        <v>777</v>
      </c>
    </row>
    <row r="6" spans="1:8">
      <c r="A6" s="539"/>
      <c r="B6" s="540"/>
      <c r="C6" s="541" t="s">
        <v>778</v>
      </c>
      <c r="D6" s="541" t="s">
        <v>779</v>
      </c>
      <c r="E6" s="540" t="s">
        <v>780</v>
      </c>
      <c r="F6" s="540" t="s">
        <v>781</v>
      </c>
      <c r="G6" s="541" t="s">
        <v>782</v>
      </c>
      <c r="H6" s="541" t="s">
        <v>783</v>
      </c>
    </row>
    <row r="7" spans="1:8" ht="21.95" customHeight="1">
      <c r="A7" s="542" t="s">
        <v>784</v>
      </c>
      <c r="B7" s="543">
        <v>604973875183</v>
      </c>
      <c r="C7" s="544"/>
      <c r="D7" s="544"/>
      <c r="E7" s="544"/>
      <c r="F7" s="544"/>
      <c r="G7" s="544"/>
      <c r="H7" s="544"/>
    </row>
    <row r="8" spans="1:8" ht="21.95" customHeight="1">
      <c r="A8" s="545" t="s">
        <v>785</v>
      </c>
      <c r="B8" s="546"/>
      <c r="C8" s="546"/>
      <c r="D8" s="547"/>
      <c r="E8" s="546"/>
      <c r="F8" s="546"/>
      <c r="G8" s="546"/>
      <c r="H8" s="546"/>
    </row>
    <row r="9" spans="1:8" ht="21.95" customHeight="1">
      <c r="A9" s="548" t="s">
        <v>786</v>
      </c>
      <c r="B9" s="549"/>
      <c r="C9" s="550">
        <v>1485456764650</v>
      </c>
      <c r="D9" s="550">
        <v>368275292521</v>
      </c>
      <c r="E9" s="547">
        <f>C9-D9</f>
        <v>1117181472129</v>
      </c>
      <c r="F9" s="551">
        <f>D9/C9</f>
        <v>0.24792057317654223</v>
      </c>
      <c r="G9" s="547">
        <v>245184436080</v>
      </c>
      <c r="H9" s="551">
        <f>E9/G9</f>
        <v>4.5564942456807511</v>
      </c>
    </row>
    <row r="10" spans="1:8" ht="21.95" customHeight="1">
      <c r="A10" s="548" t="s">
        <v>787</v>
      </c>
      <c r="B10" s="549"/>
      <c r="C10" s="550">
        <v>1359593273370</v>
      </c>
      <c r="D10" s="550">
        <v>206232080351</v>
      </c>
      <c r="E10" s="547">
        <f>C10-D10</f>
        <v>1153361193019</v>
      </c>
      <c r="F10" s="551">
        <f>D10/C10</f>
        <v>0.15168659950767199</v>
      </c>
      <c r="G10" s="547">
        <v>190118873280</v>
      </c>
      <c r="H10" s="551">
        <f>E10/G10</f>
        <v>6.0665265532074377</v>
      </c>
    </row>
    <row r="11" spans="1:8" ht="21.95" customHeight="1">
      <c r="A11" s="548" t="s">
        <v>788</v>
      </c>
      <c r="B11" s="549"/>
      <c r="C11" s="550">
        <v>359428374684</v>
      </c>
      <c r="D11" s="550">
        <v>30392912725</v>
      </c>
      <c r="E11" s="547">
        <f>C11-D11</f>
        <v>329035461959</v>
      </c>
      <c r="F11" s="551">
        <f>D11/C11</f>
        <v>8.4559024455764381E-2</v>
      </c>
      <c r="G11" s="547">
        <v>88564031640</v>
      </c>
      <c r="H11" s="551">
        <f>E11/G11</f>
        <v>3.7152267784791193</v>
      </c>
    </row>
    <row r="12" spans="1:8" ht="21.95" customHeight="1">
      <c r="A12" s="548" t="s">
        <v>789</v>
      </c>
      <c r="B12" s="546"/>
      <c r="C12" s="552">
        <v>544817512</v>
      </c>
      <c r="D12" s="552">
        <v>73589586</v>
      </c>
      <c r="E12" s="547">
        <f>C12-D12</f>
        <v>471227926</v>
      </c>
      <c r="F12" s="551">
        <f>D12/C12</f>
        <v>0.1350719908577388</v>
      </c>
      <c r="G12" s="547">
        <v>41195880</v>
      </c>
      <c r="H12" s="551">
        <f>E12/G12</f>
        <v>11.438714890906567</v>
      </c>
    </row>
    <row r="13" spans="1:8" ht="21.95" customHeight="1">
      <c r="A13" s="548"/>
      <c r="B13" s="546"/>
      <c r="C13" s="552"/>
      <c r="D13" s="552"/>
      <c r="E13" s="547"/>
      <c r="F13" s="551"/>
      <c r="G13" s="547"/>
      <c r="H13" s="551"/>
    </row>
    <row r="14" spans="1:8" ht="21.95" customHeight="1">
      <c r="A14" s="553"/>
      <c r="B14" s="553"/>
      <c r="C14" s="553"/>
      <c r="D14" s="554"/>
      <c r="E14" s="553"/>
      <c r="F14" s="553"/>
      <c r="G14" s="553"/>
      <c r="H14" s="553"/>
    </row>
    <row r="15" spans="1:8" ht="21.95" customHeight="1">
      <c r="A15" s="553"/>
      <c r="B15" s="553"/>
      <c r="C15" s="553"/>
      <c r="D15" s="553"/>
      <c r="E15" s="553"/>
      <c r="F15" s="553"/>
      <c r="G15" s="553"/>
      <c r="H15" s="553"/>
    </row>
    <row r="16" spans="1:8" ht="21.95" customHeight="1">
      <c r="A16" s="553"/>
      <c r="B16" s="553"/>
      <c r="C16" s="553"/>
      <c r="D16" s="553"/>
      <c r="E16" s="553"/>
      <c r="F16" s="553"/>
      <c r="G16" s="553"/>
      <c r="H16" s="553"/>
    </row>
    <row r="17" spans="1:8" ht="21.95" customHeight="1">
      <c r="A17" s="553"/>
      <c r="B17" s="553"/>
      <c r="C17" s="553"/>
      <c r="D17" s="553"/>
      <c r="E17" s="553"/>
      <c r="F17" s="553"/>
      <c r="G17" s="553"/>
      <c r="H17" s="553"/>
    </row>
    <row r="18" spans="1:8" ht="21.95" customHeight="1">
      <c r="A18" s="553"/>
      <c r="B18" s="553"/>
      <c r="C18" s="553"/>
      <c r="D18" s="553"/>
      <c r="E18" s="553"/>
      <c r="F18" s="553"/>
      <c r="G18" s="553"/>
      <c r="H18" s="553"/>
    </row>
    <row r="19" spans="1:8" ht="21.95" customHeight="1">
      <c r="A19" s="549" t="s">
        <v>790</v>
      </c>
      <c r="B19" s="555"/>
      <c r="C19" s="556">
        <f>SUM(C9:C18)</f>
        <v>3205023230216</v>
      </c>
      <c r="D19" s="556">
        <f>SUM(D9:D18)</f>
        <v>604973875183</v>
      </c>
      <c r="E19" s="556">
        <f>SUM(E9:E18)</f>
        <v>2600049355033</v>
      </c>
      <c r="F19" s="551">
        <f>D19/C19</f>
        <v>0.18875803129271804</v>
      </c>
      <c r="G19" s="556">
        <f>SUM(G9:G18)</f>
        <v>523908536880</v>
      </c>
      <c r="H19" s="551">
        <f>E19/G19</f>
        <v>4.9627924952643694</v>
      </c>
    </row>
    <row r="20" spans="1:8">
      <c r="A20" s="557"/>
      <c r="B20" s="557"/>
      <c r="C20" s="557"/>
      <c r="D20" s="557" t="s">
        <v>791</v>
      </c>
      <c r="E20" s="557"/>
      <c r="F20" s="557"/>
      <c r="G20" s="557"/>
      <c r="H20" s="557"/>
    </row>
    <row r="21" spans="1:8" s="559" customFormat="1" ht="16.5">
      <c r="A21" s="558" t="s">
        <v>792</v>
      </c>
      <c r="B21" s="557"/>
      <c r="C21" s="557"/>
      <c r="D21" s="557"/>
      <c r="E21" s="557"/>
      <c r="F21" s="557"/>
      <c r="G21" s="557"/>
      <c r="H21" s="557"/>
    </row>
    <row r="22" spans="1:8" s="559" customFormat="1" ht="16.5">
      <c r="A22" s="558" t="s">
        <v>793</v>
      </c>
      <c r="B22" s="557"/>
      <c r="C22" s="557"/>
      <c r="D22" s="557"/>
      <c r="E22" s="557"/>
      <c r="F22" s="557"/>
      <c r="G22" s="557"/>
      <c r="H22" s="557"/>
    </row>
    <row r="23" spans="1:8" s="559" customFormat="1" ht="16.5">
      <c r="A23" s="558" t="s">
        <v>794</v>
      </c>
      <c r="B23" s="557"/>
      <c r="C23" s="557"/>
      <c r="D23" s="557"/>
      <c r="E23" s="557"/>
      <c r="F23" s="557"/>
      <c r="G23" s="557"/>
      <c r="H23" s="557"/>
    </row>
    <row r="24" spans="1:8" s="559" customFormat="1" ht="16.5">
      <c r="A24" s="558" t="s">
        <v>795</v>
      </c>
      <c r="B24" s="557"/>
      <c r="C24" s="557"/>
      <c r="D24" s="557"/>
      <c r="E24" s="557"/>
      <c r="F24" s="557"/>
      <c r="G24" s="557"/>
      <c r="H24" s="557"/>
    </row>
    <row r="25" spans="1:8" s="559" customFormat="1" ht="16.5">
      <c r="A25" s="558" t="s">
        <v>796</v>
      </c>
      <c r="B25" s="557"/>
      <c r="C25" s="557"/>
      <c r="D25" s="557"/>
      <c r="E25" s="557"/>
      <c r="F25" s="557"/>
      <c r="G25" s="557"/>
      <c r="H25" s="557"/>
    </row>
    <row r="26" spans="1:8" s="559" customFormat="1" ht="16.5">
      <c r="A26" s="558" t="s">
        <v>797</v>
      </c>
      <c r="B26" s="557"/>
      <c r="C26" s="557"/>
      <c r="D26" s="557"/>
      <c r="E26" s="557"/>
      <c r="F26" s="557"/>
      <c r="G26" s="557"/>
      <c r="H26" s="557"/>
    </row>
    <row r="27" spans="1:8" s="559" customFormat="1" ht="16.5">
      <c r="A27" s="558" t="s">
        <v>798</v>
      </c>
      <c r="B27" s="557"/>
      <c r="C27" s="557"/>
      <c r="D27" s="557"/>
      <c r="E27" s="557"/>
      <c r="F27" s="557"/>
      <c r="G27" s="557"/>
      <c r="H27" s="557"/>
    </row>
    <row r="28" spans="1:8" s="559" customFormat="1" ht="16.5">
      <c r="A28" s="558" t="s">
        <v>799</v>
      </c>
      <c r="B28" s="557"/>
      <c r="C28" s="557"/>
      <c r="D28" s="557"/>
      <c r="E28" s="557"/>
      <c r="F28" s="557"/>
      <c r="G28" s="557"/>
      <c r="H28" s="557"/>
    </row>
    <row r="29" spans="1:8" s="559" customFormat="1" ht="16.5">
      <c r="A29" s="558" t="s">
        <v>800</v>
      </c>
      <c r="B29" s="557"/>
      <c r="C29" s="557"/>
      <c r="D29" s="557"/>
      <c r="E29" s="557"/>
      <c r="F29" s="557"/>
      <c r="G29" s="557"/>
      <c r="H29" s="557"/>
    </row>
    <row r="30" spans="1:8" s="559" customFormat="1" ht="16.5">
      <c r="A30" s="560" t="s">
        <v>801</v>
      </c>
      <c r="B30" s="557"/>
      <c r="C30" s="557"/>
      <c r="D30" s="557"/>
      <c r="E30" s="557"/>
      <c r="F30" s="557"/>
      <c r="G30" s="557"/>
      <c r="H30" s="557"/>
    </row>
    <row r="31" spans="1:8" s="559" customFormat="1" ht="18.75" customHeight="1">
      <c r="A31" s="558" t="s">
        <v>802</v>
      </c>
      <c r="B31" s="557"/>
      <c r="C31" s="557"/>
      <c r="D31" s="557"/>
      <c r="E31" s="557"/>
      <c r="F31" s="557"/>
      <c r="G31" s="557"/>
      <c r="H31" s="557"/>
    </row>
    <row r="32" spans="1:8" s="559" customFormat="1" ht="16.5">
      <c r="A32" s="558" t="s">
        <v>803</v>
      </c>
      <c r="B32" s="557"/>
      <c r="C32" s="557"/>
      <c r="D32" s="557"/>
      <c r="E32" s="557"/>
      <c r="F32" s="557"/>
      <c r="G32" s="557"/>
      <c r="H32" s="557"/>
    </row>
    <row r="33" spans="1:8" s="559" customFormat="1" ht="16.5">
      <c r="A33" s="558" t="s">
        <v>804</v>
      </c>
      <c r="B33" s="557"/>
      <c r="C33" s="557"/>
      <c r="D33" s="557"/>
      <c r="E33" s="557"/>
      <c r="F33" s="557"/>
      <c r="G33" s="557"/>
      <c r="H33" s="557"/>
    </row>
    <row r="34" spans="1:8" s="559" customFormat="1" ht="16.5">
      <c r="A34" s="558" t="s">
        <v>805</v>
      </c>
      <c r="B34" s="557"/>
      <c r="C34" s="557"/>
      <c r="D34" s="557"/>
      <c r="E34" s="557"/>
      <c r="F34" s="557"/>
      <c r="G34" s="557"/>
      <c r="H34" s="557"/>
    </row>
    <row r="35" spans="1:8" s="559" customFormat="1" ht="16.5">
      <c r="A35" s="558" t="s">
        <v>806</v>
      </c>
      <c r="B35" s="557"/>
      <c r="C35" s="557"/>
      <c r="D35" s="557"/>
      <c r="E35" s="557"/>
      <c r="F35" s="557"/>
      <c r="G35" s="557"/>
      <c r="H35" s="557"/>
    </row>
    <row r="36" spans="1:8" s="559" customFormat="1" ht="16.5">
      <c r="A36" s="558" t="s">
        <v>807</v>
      </c>
      <c r="B36" s="557"/>
      <c r="C36" s="557"/>
      <c r="D36" s="557"/>
      <c r="E36" s="557"/>
      <c r="F36" s="557"/>
      <c r="G36" s="557"/>
      <c r="H36" s="557"/>
    </row>
    <row r="37" spans="1:8" s="559" customFormat="1" ht="16.5">
      <c r="A37" s="558" t="s">
        <v>808</v>
      </c>
      <c r="B37" s="557"/>
      <c r="C37" s="557"/>
      <c r="D37" s="557"/>
      <c r="E37" s="557"/>
      <c r="F37" s="557"/>
      <c r="G37" s="557"/>
      <c r="H37" s="557"/>
    </row>
    <row r="38" spans="1:8" s="559" customFormat="1" ht="16.5">
      <c r="A38" s="558" t="s">
        <v>809</v>
      </c>
      <c r="B38" s="557"/>
      <c r="C38" s="557"/>
      <c r="D38" s="557"/>
      <c r="E38" s="557"/>
      <c r="F38" s="557"/>
      <c r="G38" s="557"/>
      <c r="H38" s="557"/>
    </row>
    <row r="39" spans="1:8" s="559" customFormat="1" ht="16.5">
      <c r="A39" s="558" t="s">
        <v>810</v>
      </c>
      <c r="B39" s="557"/>
      <c r="C39" s="557"/>
      <c r="D39" s="557"/>
      <c r="E39" s="557"/>
      <c r="F39" s="557"/>
      <c r="G39" s="557"/>
      <c r="H39" s="557"/>
    </row>
  </sheetData>
  <mergeCells count="6">
    <mergeCell ref="G4:G5"/>
    <mergeCell ref="A2:D2"/>
    <mergeCell ref="A4:A5"/>
    <mergeCell ref="C4:C5"/>
    <mergeCell ref="D4:D5"/>
    <mergeCell ref="F4:F5"/>
  </mergeCells>
  <phoneticPr fontId="3" type="noConversion"/>
  <printOptions horizontalCentered="1"/>
  <pageMargins left="0.62992125984251968" right="0.38" top="0.36" bottom="0.38" header="0.31496062992125984" footer="0.31496062992125984"/>
  <pageSetup paperSize="9" fitToWidth="2" fitToHeight="0"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sheetPr>
    <tabColor indexed="43"/>
    <pageSetUpPr fitToPage="1"/>
  </sheetPr>
  <dimension ref="A1:J55"/>
  <sheetViews>
    <sheetView view="pageBreakPreview" topLeftCell="A28" zoomScaleNormal="100" zoomScaleSheetLayoutView="100" workbookViewId="0">
      <selection activeCell="E20" sqref="E20:F20"/>
    </sheetView>
  </sheetViews>
  <sheetFormatPr defaultRowHeight="15.75"/>
  <cols>
    <col min="1" max="1" width="2.625" style="536" customWidth="1"/>
    <col min="2" max="2" width="31.125" style="536" customWidth="1"/>
    <col min="3" max="4" width="13.875" style="536" customWidth="1"/>
    <col min="5" max="5" width="13.375" style="536" customWidth="1"/>
    <col min="6" max="6" width="15.875" style="536" customWidth="1"/>
    <col min="7" max="10" width="14.125" style="536" customWidth="1"/>
    <col min="11" max="256" width="9" style="536"/>
    <col min="257" max="257" width="2.625" style="536" customWidth="1"/>
    <col min="258" max="258" width="31.125" style="536" customWidth="1"/>
    <col min="259" max="260" width="13.875" style="536" customWidth="1"/>
    <col min="261" max="261" width="13.375" style="536" customWidth="1"/>
    <col min="262" max="262" width="15.875" style="536" customWidth="1"/>
    <col min="263" max="266" width="14.125" style="536" customWidth="1"/>
    <col min="267" max="512" width="9" style="536"/>
    <col min="513" max="513" width="2.625" style="536" customWidth="1"/>
    <col min="514" max="514" width="31.125" style="536" customWidth="1"/>
    <col min="515" max="516" width="13.875" style="536" customWidth="1"/>
    <col min="517" max="517" width="13.375" style="536" customWidth="1"/>
    <col min="518" max="518" width="15.875" style="536" customWidth="1"/>
    <col min="519" max="522" width="14.125" style="536" customWidth="1"/>
    <col min="523" max="768" width="9" style="536"/>
    <col min="769" max="769" width="2.625" style="536" customWidth="1"/>
    <col min="770" max="770" width="31.125" style="536" customWidth="1"/>
    <col min="771" max="772" width="13.875" style="536" customWidth="1"/>
    <col min="773" max="773" width="13.375" style="536" customWidth="1"/>
    <col min="774" max="774" width="15.875" style="536" customWidth="1"/>
    <col min="775" max="778" width="14.125" style="536" customWidth="1"/>
    <col min="779" max="1024" width="9" style="536"/>
    <col min="1025" max="1025" width="2.625" style="536" customWidth="1"/>
    <col min="1026" max="1026" width="31.125" style="536" customWidth="1"/>
    <col min="1027" max="1028" width="13.875" style="536" customWidth="1"/>
    <col min="1029" max="1029" width="13.375" style="536" customWidth="1"/>
    <col min="1030" max="1030" width="15.875" style="536" customWidth="1"/>
    <col min="1031" max="1034" width="14.125" style="536" customWidth="1"/>
    <col min="1035" max="1280" width="9" style="536"/>
    <col min="1281" max="1281" width="2.625" style="536" customWidth="1"/>
    <col min="1282" max="1282" width="31.125" style="536" customWidth="1"/>
    <col min="1283" max="1284" width="13.875" style="536" customWidth="1"/>
    <col min="1285" max="1285" width="13.375" style="536" customWidth="1"/>
    <col min="1286" max="1286" width="15.875" style="536" customWidth="1"/>
    <col min="1287" max="1290" width="14.125" style="536" customWidth="1"/>
    <col min="1291" max="1536" width="9" style="536"/>
    <col min="1537" max="1537" width="2.625" style="536" customWidth="1"/>
    <col min="1538" max="1538" width="31.125" style="536" customWidth="1"/>
    <col min="1539" max="1540" width="13.875" style="536" customWidth="1"/>
    <col min="1541" max="1541" width="13.375" style="536" customWidth="1"/>
    <col min="1542" max="1542" width="15.875" style="536" customWidth="1"/>
    <col min="1543" max="1546" width="14.125" style="536" customWidth="1"/>
    <col min="1547" max="1792" width="9" style="536"/>
    <col min="1793" max="1793" width="2.625" style="536" customWidth="1"/>
    <col min="1794" max="1794" width="31.125" style="536" customWidth="1"/>
    <col min="1795" max="1796" width="13.875" style="536" customWidth="1"/>
    <col min="1797" max="1797" width="13.375" style="536" customWidth="1"/>
    <col min="1798" max="1798" width="15.875" style="536" customWidth="1"/>
    <col min="1799" max="1802" width="14.125" style="536" customWidth="1"/>
    <col min="1803" max="2048" width="9" style="536"/>
    <col min="2049" max="2049" width="2.625" style="536" customWidth="1"/>
    <col min="2050" max="2050" width="31.125" style="536" customWidth="1"/>
    <col min="2051" max="2052" width="13.875" style="536" customWidth="1"/>
    <col min="2053" max="2053" width="13.375" style="536" customWidth="1"/>
    <col min="2054" max="2054" width="15.875" style="536" customWidth="1"/>
    <col min="2055" max="2058" width="14.125" style="536" customWidth="1"/>
    <col min="2059" max="2304" width="9" style="536"/>
    <col min="2305" max="2305" width="2.625" style="536" customWidth="1"/>
    <col min="2306" max="2306" width="31.125" style="536" customWidth="1"/>
    <col min="2307" max="2308" width="13.875" style="536" customWidth="1"/>
    <col min="2309" max="2309" width="13.375" style="536" customWidth="1"/>
    <col min="2310" max="2310" width="15.875" style="536" customWidth="1"/>
    <col min="2311" max="2314" width="14.125" style="536" customWidth="1"/>
    <col min="2315" max="2560" width="9" style="536"/>
    <col min="2561" max="2561" width="2.625" style="536" customWidth="1"/>
    <col min="2562" max="2562" width="31.125" style="536" customWidth="1"/>
    <col min="2563" max="2564" width="13.875" style="536" customWidth="1"/>
    <col min="2565" max="2565" width="13.375" style="536" customWidth="1"/>
    <col min="2566" max="2566" width="15.875" style="536" customWidth="1"/>
    <col min="2567" max="2570" width="14.125" style="536" customWidth="1"/>
    <col min="2571" max="2816" width="9" style="536"/>
    <col min="2817" max="2817" width="2.625" style="536" customWidth="1"/>
    <col min="2818" max="2818" width="31.125" style="536" customWidth="1"/>
    <col min="2819" max="2820" width="13.875" style="536" customWidth="1"/>
    <col min="2821" max="2821" width="13.375" style="536" customWidth="1"/>
    <col min="2822" max="2822" width="15.875" style="536" customWidth="1"/>
    <col min="2823" max="2826" width="14.125" style="536" customWidth="1"/>
    <col min="2827" max="3072" width="9" style="536"/>
    <col min="3073" max="3073" width="2.625" style="536" customWidth="1"/>
    <col min="3074" max="3074" width="31.125" style="536" customWidth="1"/>
    <col min="3075" max="3076" width="13.875" style="536" customWidth="1"/>
    <col min="3077" max="3077" width="13.375" style="536" customWidth="1"/>
    <col min="3078" max="3078" width="15.875" style="536" customWidth="1"/>
    <col min="3079" max="3082" width="14.125" style="536" customWidth="1"/>
    <col min="3083" max="3328" width="9" style="536"/>
    <col min="3329" max="3329" width="2.625" style="536" customWidth="1"/>
    <col min="3330" max="3330" width="31.125" style="536" customWidth="1"/>
    <col min="3331" max="3332" width="13.875" style="536" customWidth="1"/>
    <col min="3333" max="3333" width="13.375" style="536" customWidth="1"/>
    <col min="3334" max="3334" width="15.875" style="536" customWidth="1"/>
    <col min="3335" max="3338" width="14.125" style="536" customWidth="1"/>
    <col min="3339" max="3584" width="9" style="536"/>
    <col min="3585" max="3585" width="2.625" style="536" customWidth="1"/>
    <col min="3586" max="3586" width="31.125" style="536" customWidth="1"/>
    <col min="3587" max="3588" width="13.875" style="536" customWidth="1"/>
    <col min="3589" max="3589" width="13.375" style="536" customWidth="1"/>
    <col min="3590" max="3590" width="15.875" style="536" customWidth="1"/>
    <col min="3591" max="3594" width="14.125" style="536" customWidth="1"/>
    <col min="3595" max="3840" width="9" style="536"/>
    <col min="3841" max="3841" width="2.625" style="536" customWidth="1"/>
    <col min="3842" max="3842" width="31.125" style="536" customWidth="1"/>
    <col min="3843" max="3844" width="13.875" style="536" customWidth="1"/>
    <col min="3845" max="3845" width="13.375" style="536" customWidth="1"/>
    <col min="3846" max="3846" width="15.875" style="536" customWidth="1"/>
    <col min="3847" max="3850" width="14.125" style="536" customWidth="1"/>
    <col min="3851" max="4096" width="9" style="536"/>
    <col min="4097" max="4097" width="2.625" style="536" customWidth="1"/>
    <col min="4098" max="4098" width="31.125" style="536" customWidth="1"/>
    <col min="4099" max="4100" width="13.875" style="536" customWidth="1"/>
    <col min="4101" max="4101" width="13.375" style="536" customWidth="1"/>
    <col min="4102" max="4102" width="15.875" style="536" customWidth="1"/>
    <col min="4103" max="4106" width="14.125" style="536" customWidth="1"/>
    <col min="4107" max="4352" width="9" style="536"/>
    <col min="4353" max="4353" width="2.625" style="536" customWidth="1"/>
    <col min="4354" max="4354" width="31.125" style="536" customWidth="1"/>
    <col min="4355" max="4356" width="13.875" style="536" customWidth="1"/>
    <col min="4357" max="4357" width="13.375" style="536" customWidth="1"/>
    <col min="4358" max="4358" width="15.875" style="536" customWidth="1"/>
    <col min="4359" max="4362" width="14.125" style="536" customWidth="1"/>
    <col min="4363" max="4608" width="9" style="536"/>
    <col min="4609" max="4609" width="2.625" style="536" customWidth="1"/>
    <col min="4610" max="4610" width="31.125" style="536" customWidth="1"/>
    <col min="4611" max="4612" width="13.875" style="536" customWidth="1"/>
    <col min="4613" max="4613" width="13.375" style="536" customWidth="1"/>
    <col min="4614" max="4614" width="15.875" style="536" customWidth="1"/>
    <col min="4615" max="4618" width="14.125" style="536" customWidth="1"/>
    <col min="4619" max="4864" width="9" style="536"/>
    <col min="4865" max="4865" width="2.625" style="536" customWidth="1"/>
    <col min="4866" max="4866" width="31.125" style="536" customWidth="1"/>
    <col min="4867" max="4868" width="13.875" style="536" customWidth="1"/>
    <col min="4869" max="4869" width="13.375" style="536" customWidth="1"/>
    <col min="4870" max="4870" width="15.875" style="536" customWidth="1"/>
    <col min="4871" max="4874" width="14.125" style="536" customWidth="1"/>
    <col min="4875" max="5120" width="9" style="536"/>
    <col min="5121" max="5121" width="2.625" style="536" customWidth="1"/>
    <col min="5122" max="5122" width="31.125" style="536" customWidth="1"/>
    <col min="5123" max="5124" width="13.875" style="536" customWidth="1"/>
    <col min="5125" max="5125" width="13.375" style="536" customWidth="1"/>
    <col min="5126" max="5126" width="15.875" style="536" customWidth="1"/>
    <col min="5127" max="5130" width="14.125" style="536" customWidth="1"/>
    <col min="5131" max="5376" width="9" style="536"/>
    <col min="5377" max="5377" width="2.625" style="536" customWidth="1"/>
    <col min="5378" max="5378" width="31.125" style="536" customWidth="1"/>
    <col min="5379" max="5380" width="13.875" style="536" customWidth="1"/>
    <col min="5381" max="5381" width="13.375" style="536" customWidth="1"/>
    <col min="5382" max="5382" width="15.875" style="536" customWidth="1"/>
    <col min="5383" max="5386" width="14.125" style="536" customWidth="1"/>
    <col min="5387" max="5632" width="9" style="536"/>
    <col min="5633" max="5633" width="2.625" style="536" customWidth="1"/>
    <col min="5634" max="5634" width="31.125" style="536" customWidth="1"/>
    <col min="5635" max="5636" width="13.875" style="536" customWidth="1"/>
    <col min="5637" max="5637" width="13.375" style="536" customWidth="1"/>
    <col min="5638" max="5638" width="15.875" style="536" customWidth="1"/>
    <col min="5639" max="5642" width="14.125" style="536" customWidth="1"/>
    <col min="5643" max="5888" width="9" style="536"/>
    <col min="5889" max="5889" width="2.625" style="536" customWidth="1"/>
    <col min="5890" max="5890" width="31.125" style="536" customWidth="1"/>
    <col min="5891" max="5892" width="13.875" style="536" customWidth="1"/>
    <col min="5893" max="5893" width="13.375" style="536" customWidth="1"/>
    <col min="5894" max="5894" width="15.875" style="536" customWidth="1"/>
    <col min="5895" max="5898" width="14.125" style="536" customWidth="1"/>
    <col min="5899" max="6144" width="9" style="536"/>
    <col min="6145" max="6145" width="2.625" style="536" customWidth="1"/>
    <col min="6146" max="6146" width="31.125" style="536" customWidth="1"/>
    <col min="6147" max="6148" width="13.875" style="536" customWidth="1"/>
    <col min="6149" max="6149" width="13.375" style="536" customWidth="1"/>
    <col min="6150" max="6150" width="15.875" style="536" customWidth="1"/>
    <col min="6151" max="6154" width="14.125" style="536" customWidth="1"/>
    <col min="6155" max="6400" width="9" style="536"/>
    <col min="6401" max="6401" width="2.625" style="536" customWidth="1"/>
    <col min="6402" max="6402" width="31.125" style="536" customWidth="1"/>
    <col min="6403" max="6404" width="13.875" style="536" customWidth="1"/>
    <col min="6405" max="6405" width="13.375" style="536" customWidth="1"/>
    <col min="6406" max="6406" width="15.875" style="536" customWidth="1"/>
    <col min="6407" max="6410" width="14.125" style="536" customWidth="1"/>
    <col min="6411" max="6656" width="9" style="536"/>
    <col min="6657" max="6657" width="2.625" style="536" customWidth="1"/>
    <col min="6658" max="6658" width="31.125" style="536" customWidth="1"/>
    <col min="6659" max="6660" width="13.875" style="536" customWidth="1"/>
    <col min="6661" max="6661" width="13.375" style="536" customWidth="1"/>
    <col min="6662" max="6662" width="15.875" style="536" customWidth="1"/>
    <col min="6663" max="6666" width="14.125" style="536" customWidth="1"/>
    <col min="6667" max="6912" width="9" style="536"/>
    <col min="6913" max="6913" width="2.625" style="536" customWidth="1"/>
    <col min="6914" max="6914" width="31.125" style="536" customWidth="1"/>
    <col min="6915" max="6916" width="13.875" style="536" customWidth="1"/>
    <col min="6917" max="6917" width="13.375" style="536" customWidth="1"/>
    <col min="6918" max="6918" width="15.875" style="536" customWidth="1"/>
    <col min="6919" max="6922" width="14.125" style="536" customWidth="1"/>
    <col min="6923" max="7168" width="9" style="536"/>
    <col min="7169" max="7169" width="2.625" style="536" customWidth="1"/>
    <col min="7170" max="7170" width="31.125" style="536" customWidth="1"/>
    <col min="7171" max="7172" width="13.875" style="536" customWidth="1"/>
    <col min="7173" max="7173" width="13.375" style="536" customWidth="1"/>
    <col min="7174" max="7174" width="15.875" style="536" customWidth="1"/>
    <col min="7175" max="7178" width="14.125" style="536" customWidth="1"/>
    <col min="7179" max="7424" width="9" style="536"/>
    <col min="7425" max="7425" width="2.625" style="536" customWidth="1"/>
    <col min="7426" max="7426" width="31.125" style="536" customWidth="1"/>
    <col min="7427" max="7428" width="13.875" style="536" customWidth="1"/>
    <col min="7429" max="7429" width="13.375" style="536" customWidth="1"/>
    <col min="7430" max="7430" width="15.875" style="536" customWidth="1"/>
    <col min="7431" max="7434" width="14.125" style="536" customWidth="1"/>
    <col min="7435" max="7680" width="9" style="536"/>
    <col min="7681" max="7681" width="2.625" style="536" customWidth="1"/>
    <col min="7682" max="7682" width="31.125" style="536" customWidth="1"/>
    <col min="7683" max="7684" width="13.875" style="536" customWidth="1"/>
    <col min="7685" max="7685" width="13.375" style="536" customWidth="1"/>
    <col min="7686" max="7686" width="15.875" style="536" customWidth="1"/>
    <col min="7687" max="7690" width="14.125" style="536" customWidth="1"/>
    <col min="7691" max="7936" width="9" style="536"/>
    <col min="7937" max="7937" width="2.625" style="536" customWidth="1"/>
    <col min="7938" max="7938" width="31.125" style="536" customWidth="1"/>
    <col min="7939" max="7940" width="13.875" style="536" customWidth="1"/>
    <col min="7941" max="7941" width="13.375" style="536" customWidth="1"/>
    <col min="7942" max="7942" width="15.875" style="536" customWidth="1"/>
    <col min="7943" max="7946" width="14.125" style="536" customWidth="1"/>
    <col min="7947" max="8192" width="9" style="536"/>
    <col min="8193" max="8193" width="2.625" style="536" customWidth="1"/>
    <col min="8194" max="8194" width="31.125" style="536" customWidth="1"/>
    <col min="8195" max="8196" width="13.875" style="536" customWidth="1"/>
    <col min="8197" max="8197" width="13.375" style="536" customWidth="1"/>
    <col min="8198" max="8198" width="15.875" style="536" customWidth="1"/>
    <col min="8199" max="8202" width="14.125" style="536" customWidth="1"/>
    <col min="8203" max="8448" width="9" style="536"/>
    <col min="8449" max="8449" width="2.625" style="536" customWidth="1"/>
    <col min="8450" max="8450" width="31.125" style="536" customWidth="1"/>
    <col min="8451" max="8452" width="13.875" style="536" customWidth="1"/>
    <col min="8453" max="8453" width="13.375" style="536" customWidth="1"/>
    <col min="8454" max="8454" width="15.875" style="536" customWidth="1"/>
    <col min="8455" max="8458" width="14.125" style="536" customWidth="1"/>
    <col min="8459" max="8704" width="9" style="536"/>
    <col min="8705" max="8705" width="2.625" style="536" customWidth="1"/>
    <col min="8706" max="8706" width="31.125" style="536" customWidth="1"/>
    <col min="8707" max="8708" width="13.875" style="536" customWidth="1"/>
    <col min="8709" max="8709" width="13.375" style="536" customWidth="1"/>
    <col min="8710" max="8710" width="15.875" style="536" customWidth="1"/>
    <col min="8711" max="8714" width="14.125" style="536" customWidth="1"/>
    <col min="8715" max="8960" width="9" style="536"/>
    <col min="8961" max="8961" width="2.625" style="536" customWidth="1"/>
    <col min="8962" max="8962" width="31.125" style="536" customWidth="1"/>
    <col min="8963" max="8964" width="13.875" style="536" customWidth="1"/>
    <col min="8965" max="8965" width="13.375" style="536" customWidth="1"/>
    <col min="8966" max="8966" width="15.875" style="536" customWidth="1"/>
    <col min="8967" max="8970" width="14.125" style="536" customWidth="1"/>
    <col min="8971" max="9216" width="9" style="536"/>
    <col min="9217" max="9217" width="2.625" style="536" customWidth="1"/>
    <col min="9218" max="9218" width="31.125" style="536" customWidth="1"/>
    <col min="9219" max="9220" width="13.875" style="536" customWidth="1"/>
    <col min="9221" max="9221" width="13.375" style="536" customWidth="1"/>
    <col min="9222" max="9222" width="15.875" style="536" customWidth="1"/>
    <col min="9223" max="9226" width="14.125" style="536" customWidth="1"/>
    <col min="9227" max="9472" width="9" style="536"/>
    <col min="9473" max="9473" width="2.625" style="536" customWidth="1"/>
    <col min="9474" max="9474" width="31.125" style="536" customWidth="1"/>
    <col min="9475" max="9476" width="13.875" style="536" customWidth="1"/>
    <col min="9477" max="9477" width="13.375" style="536" customWidth="1"/>
    <col min="9478" max="9478" width="15.875" style="536" customWidth="1"/>
    <col min="9479" max="9482" width="14.125" style="536" customWidth="1"/>
    <col min="9483" max="9728" width="9" style="536"/>
    <col min="9729" max="9729" width="2.625" style="536" customWidth="1"/>
    <col min="9730" max="9730" width="31.125" style="536" customWidth="1"/>
    <col min="9731" max="9732" width="13.875" style="536" customWidth="1"/>
    <col min="9733" max="9733" width="13.375" style="536" customWidth="1"/>
    <col min="9734" max="9734" width="15.875" style="536" customWidth="1"/>
    <col min="9735" max="9738" width="14.125" style="536" customWidth="1"/>
    <col min="9739" max="9984" width="9" style="536"/>
    <col min="9985" max="9985" width="2.625" style="536" customWidth="1"/>
    <col min="9986" max="9986" width="31.125" style="536" customWidth="1"/>
    <col min="9987" max="9988" width="13.875" style="536" customWidth="1"/>
    <col min="9989" max="9989" width="13.375" style="536" customWidth="1"/>
    <col min="9990" max="9990" width="15.875" style="536" customWidth="1"/>
    <col min="9991" max="9994" width="14.125" style="536" customWidth="1"/>
    <col min="9995" max="10240" width="9" style="536"/>
    <col min="10241" max="10241" width="2.625" style="536" customWidth="1"/>
    <col min="10242" max="10242" width="31.125" style="536" customWidth="1"/>
    <col min="10243" max="10244" width="13.875" style="536" customWidth="1"/>
    <col min="10245" max="10245" width="13.375" style="536" customWidth="1"/>
    <col min="10246" max="10246" width="15.875" style="536" customWidth="1"/>
    <col min="10247" max="10250" width="14.125" style="536" customWidth="1"/>
    <col min="10251" max="10496" width="9" style="536"/>
    <col min="10497" max="10497" width="2.625" style="536" customWidth="1"/>
    <col min="10498" max="10498" width="31.125" style="536" customWidth="1"/>
    <col min="10499" max="10500" width="13.875" style="536" customWidth="1"/>
    <col min="10501" max="10501" width="13.375" style="536" customWidth="1"/>
    <col min="10502" max="10502" width="15.875" style="536" customWidth="1"/>
    <col min="10503" max="10506" width="14.125" style="536" customWidth="1"/>
    <col min="10507" max="10752" width="9" style="536"/>
    <col min="10753" max="10753" width="2.625" style="536" customWidth="1"/>
    <col min="10754" max="10754" width="31.125" style="536" customWidth="1"/>
    <col min="10755" max="10756" width="13.875" style="536" customWidth="1"/>
    <col min="10757" max="10757" width="13.375" style="536" customWidth="1"/>
    <col min="10758" max="10758" width="15.875" style="536" customWidth="1"/>
    <col min="10759" max="10762" width="14.125" style="536" customWidth="1"/>
    <col min="10763" max="11008" width="9" style="536"/>
    <col min="11009" max="11009" width="2.625" style="536" customWidth="1"/>
    <col min="11010" max="11010" width="31.125" style="536" customWidth="1"/>
    <col min="11011" max="11012" width="13.875" style="536" customWidth="1"/>
    <col min="11013" max="11013" width="13.375" style="536" customWidth="1"/>
    <col min="11014" max="11014" width="15.875" style="536" customWidth="1"/>
    <col min="11015" max="11018" width="14.125" style="536" customWidth="1"/>
    <col min="11019" max="11264" width="9" style="536"/>
    <col min="11265" max="11265" width="2.625" style="536" customWidth="1"/>
    <col min="11266" max="11266" width="31.125" style="536" customWidth="1"/>
    <col min="11267" max="11268" width="13.875" style="536" customWidth="1"/>
    <col min="11269" max="11269" width="13.375" style="536" customWidth="1"/>
    <col min="11270" max="11270" width="15.875" style="536" customWidth="1"/>
    <col min="11271" max="11274" width="14.125" style="536" customWidth="1"/>
    <col min="11275" max="11520" width="9" style="536"/>
    <col min="11521" max="11521" width="2.625" style="536" customWidth="1"/>
    <col min="11522" max="11522" width="31.125" style="536" customWidth="1"/>
    <col min="11523" max="11524" width="13.875" style="536" customWidth="1"/>
    <col min="11525" max="11525" width="13.375" style="536" customWidth="1"/>
    <col min="11526" max="11526" width="15.875" style="536" customWidth="1"/>
    <col min="11527" max="11530" width="14.125" style="536" customWidth="1"/>
    <col min="11531" max="11776" width="9" style="536"/>
    <col min="11777" max="11777" width="2.625" style="536" customWidth="1"/>
    <col min="11778" max="11778" width="31.125" style="536" customWidth="1"/>
    <col min="11779" max="11780" width="13.875" style="536" customWidth="1"/>
    <col min="11781" max="11781" width="13.375" style="536" customWidth="1"/>
    <col min="11782" max="11782" width="15.875" style="536" customWidth="1"/>
    <col min="11783" max="11786" width="14.125" style="536" customWidth="1"/>
    <col min="11787" max="12032" width="9" style="536"/>
    <col min="12033" max="12033" width="2.625" style="536" customWidth="1"/>
    <col min="12034" max="12034" width="31.125" style="536" customWidth="1"/>
    <col min="12035" max="12036" width="13.875" style="536" customWidth="1"/>
    <col min="12037" max="12037" width="13.375" style="536" customWidth="1"/>
    <col min="12038" max="12038" width="15.875" style="536" customWidth="1"/>
    <col min="12039" max="12042" width="14.125" style="536" customWidth="1"/>
    <col min="12043" max="12288" width="9" style="536"/>
    <col min="12289" max="12289" width="2.625" style="536" customWidth="1"/>
    <col min="12290" max="12290" width="31.125" style="536" customWidth="1"/>
    <col min="12291" max="12292" width="13.875" style="536" customWidth="1"/>
    <col min="12293" max="12293" width="13.375" style="536" customWidth="1"/>
    <col min="12294" max="12294" width="15.875" style="536" customWidth="1"/>
    <col min="12295" max="12298" width="14.125" style="536" customWidth="1"/>
    <col min="12299" max="12544" width="9" style="536"/>
    <col min="12545" max="12545" width="2.625" style="536" customWidth="1"/>
    <col min="12546" max="12546" width="31.125" style="536" customWidth="1"/>
    <col min="12547" max="12548" width="13.875" style="536" customWidth="1"/>
    <col min="12549" max="12549" width="13.375" style="536" customWidth="1"/>
    <col min="12550" max="12550" width="15.875" style="536" customWidth="1"/>
    <col min="12551" max="12554" width="14.125" style="536" customWidth="1"/>
    <col min="12555" max="12800" width="9" style="536"/>
    <col min="12801" max="12801" width="2.625" style="536" customWidth="1"/>
    <col min="12802" max="12802" width="31.125" style="536" customWidth="1"/>
    <col min="12803" max="12804" width="13.875" style="536" customWidth="1"/>
    <col min="12805" max="12805" width="13.375" style="536" customWidth="1"/>
    <col min="12806" max="12806" width="15.875" style="536" customWidth="1"/>
    <col min="12807" max="12810" width="14.125" style="536" customWidth="1"/>
    <col min="12811" max="13056" width="9" style="536"/>
    <col min="13057" max="13057" width="2.625" style="536" customWidth="1"/>
    <col min="13058" max="13058" width="31.125" style="536" customWidth="1"/>
    <col min="13059" max="13060" width="13.875" style="536" customWidth="1"/>
    <col min="13061" max="13061" width="13.375" style="536" customWidth="1"/>
    <col min="13062" max="13062" width="15.875" style="536" customWidth="1"/>
    <col min="13063" max="13066" width="14.125" style="536" customWidth="1"/>
    <col min="13067" max="13312" width="9" style="536"/>
    <col min="13313" max="13313" width="2.625" style="536" customWidth="1"/>
    <col min="13314" max="13314" width="31.125" style="536" customWidth="1"/>
    <col min="13315" max="13316" width="13.875" style="536" customWidth="1"/>
    <col min="13317" max="13317" width="13.375" style="536" customWidth="1"/>
    <col min="13318" max="13318" width="15.875" style="536" customWidth="1"/>
    <col min="13319" max="13322" width="14.125" style="536" customWidth="1"/>
    <col min="13323" max="13568" width="9" style="536"/>
    <col min="13569" max="13569" width="2.625" style="536" customWidth="1"/>
    <col min="13570" max="13570" width="31.125" style="536" customWidth="1"/>
    <col min="13571" max="13572" width="13.875" style="536" customWidth="1"/>
    <col min="13573" max="13573" width="13.375" style="536" customWidth="1"/>
    <col min="13574" max="13574" width="15.875" style="536" customWidth="1"/>
    <col min="13575" max="13578" width="14.125" style="536" customWidth="1"/>
    <col min="13579" max="13824" width="9" style="536"/>
    <col min="13825" max="13825" width="2.625" style="536" customWidth="1"/>
    <col min="13826" max="13826" width="31.125" style="536" customWidth="1"/>
    <col min="13827" max="13828" width="13.875" style="536" customWidth="1"/>
    <col min="13829" max="13829" width="13.375" style="536" customWidth="1"/>
    <col min="13830" max="13830" width="15.875" style="536" customWidth="1"/>
    <col min="13831" max="13834" width="14.125" style="536" customWidth="1"/>
    <col min="13835" max="14080" width="9" style="536"/>
    <col min="14081" max="14081" width="2.625" style="536" customWidth="1"/>
    <col min="14082" max="14082" width="31.125" style="536" customWidth="1"/>
    <col min="14083" max="14084" width="13.875" style="536" customWidth="1"/>
    <col min="14085" max="14085" width="13.375" style="536" customWidth="1"/>
    <col min="14086" max="14086" width="15.875" style="536" customWidth="1"/>
    <col min="14087" max="14090" width="14.125" style="536" customWidth="1"/>
    <col min="14091" max="14336" width="9" style="536"/>
    <col min="14337" max="14337" width="2.625" style="536" customWidth="1"/>
    <col min="14338" max="14338" width="31.125" style="536" customWidth="1"/>
    <col min="14339" max="14340" width="13.875" style="536" customWidth="1"/>
    <col min="14341" max="14341" width="13.375" style="536" customWidth="1"/>
    <col min="14342" max="14342" width="15.875" style="536" customWidth="1"/>
    <col min="14343" max="14346" width="14.125" style="536" customWidth="1"/>
    <col min="14347" max="14592" width="9" style="536"/>
    <col min="14593" max="14593" width="2.625" style="536" customWidth="1"/>
    <col min="14594" max="14594" width="31.125" style="536" customWidth="1"/>
    <col min="14595" max="14596" width="13.875" style="536" customWidth="1"/>
    <col min="14597" max="14597" width="13.375" style="536" customWidth="1"/>
    <col min="14598" max="14598" width="15.875" style="536" customWidth="1"/>
    <col min="14599" max="14602" width="14.125" style="536" customWidth="1"/>
    <col min="14603" max="14848" width="9" style="536"/>
    <col min="14849" max="14849" width="2.625" style="536" customWidth="1"/>
    <col min="14850" max="14850" width="31.125" style="536" customWidth="1"/>
    <col min="14851" max="14852" width="13.875" style="536" customWidth="1"/>
    <col min="14853" max="14853" width="13.375" style="536" customWidth="1"/>
    <col min="14854" max="14854" width="15.875" style="536" customWidth="1"/>
    <col min="14855" max="14858" width="14.125" style="536" customWidth="1"/>
    <col min="14859" max="15104" width="9" style="536"/>
    <col min="15105" max="15105" width="2.625" style="536" customWidth="1"/>
    <col min="15106" max="15106" width="31.125" style="536" customWidth="1"/>
    <col min="15107" max="15108" width="13.875" style="536" customWidth="1"/>
    <col min="15109" max="15109" width="13.375" style="536" customWidth="1"/>
    <col min="15110" max="15110" width="15.875" style="536" customWidth="1"/>
    <col min="15111" max="15114" width="14.125" style="536" customWidth="1"/>
    <col min="15115" max="15360" width="9" style="536"/>
    <col min="15361" max="15361" width="2.625" style="536" customWidth="1"/>
    <col min="15362" max="15362" width="31.125" style="536" customWidth="1"/>
    <col min="15363" max="15364" width="13.875" style="536" customWidth="1"/>
    <col min="15365" max="15365" width="13.375" style="536" customWidth="1"/>
    <col min="15366" max="15366" width="15.875" style="536" customWidth="1"/>
    <col min="15367" max="15370" width="14.125" style="536" customWidth="1"/>
    <col min="15371" max="15616" width="9" style="536"/>
    <col min="15617" max="15617" width="2.625" style="536" customWidth="1"/>
    <col min="15618" max="15618" width="31.125" style="536" customWidth="1"/>
    <col min="15619" max="15620" width="13.875" style="536" customWidth="1"/>
    <col min="15621" max="15621" width="13.375" style="536" customWidth="1"/>
    <col min="15622" max="15622" width="15.875" style="536" customWidth="1"/>
    <col min="15623" max="15626" width="14.125" style="536" customWidth="1"/>
    <col min="15627" max="15872" width="9" style="536"/>
    <col min="15873" max="15873" width="2.625" style="536" customWidth="1"/>
    <col min="15874" max="15874" width="31.125" style="536" customWidth="1"/>
    <col min="15875" max="15876" width="13.875" style="536" customWidth="1"/>
    <col min="15877" max="15877" width="13.375" style="536" customWidth="1"/>
    <col min="15878" max="15878" width="15.875" style="536" customWidth="1"/>
    <col min="15879" max="15882" width="14.125" style="536" customWidth="1"/>
    <col min="15883" max="16128" width="9" style="536"/>
    <col min="16129" max="16129" width="2.625" style="536" customWidth="1"/>
    <col min="16130" max="16130" width="31.125" style="536" customWidth="1"/>
    <col min="16131" max="16132" width="13.875" style="536" customWidth="1"/>
    <col min="16133" max="16133" width="13.375" style="536" customWidth="1"/>
    <col min="16134" max="16134" width="15.875" style="536" customWidth="1"/>
    <col min="16135" max="16138" width="14.125" style="536" customWidth="1"/>
    <col min="16139" max="16384" width="9" style="536"/>
  </cols>
  <sheetData>
    <row r="1" spans="1:10" s="368" customFormat="1" ht="21">
      <c r="A1" s="561" t="s">
        <v>811</v>
      </c>
      <c r="B1" s="561"/>
      <c r="C1" s="561"/>
      <c r="D1" s="561"/>
      <c r="E1" s="561"/>
      <c r="F1" s="561"/>
      <c r="G1" s="561"/>
      <c r="H1" s="561"/>
      <c r="I1" s="561"/>
    </row>
    <row r="2" spans="1:10" ht="5.25" customHeight="1">
      <c r="A2" s="562"/>
    </row>
    <row r="3" spans="1:10" ht="18.600000000000001" customHeight="1">
      <c r="A3" s="563" t="s">
        <v>812</v>
      </c>
    </row>
    <row r="4" spans="1:10" ht="18.600000000000001" customHeight="1">
      <c r="A4" s="563" t="s">
        <v>813</v>
      </c>
    </row>
    <row r="5" spans="1:10" ht="18.600000000000001" customHeight="1">
      <c r="A5" s="563" t="s">
        <v>814</v>
      </c>
    </row>
    <row r="6" spans="1:10" s="563" customFormat="1" ht="21" customHeight="1">
      <c r="A6" s="564" t="s">
        <v>815</v>
      </c>
      <c r="B6" s="536" t="s">
        <v>816</v>
      </c>
      <c r="C6" s="536"/>
      <c r="D6" s="536"/>
      <c r="E6" s="536"/>
      <c r="F6" s="536"/>
      <c r="G6" s="536"/>
      <c r="H6" s="536"/>
      <c r="I6" s="536"/>
      <c r="J6" s="536"/>
    </row>
    <row r="7" spans="1:10" s="563" customFormat="1" ht="18.75">
      <c r="A7" s="536"/>
      <c r="B7" s="536" t="s">
        <v>817</v>
      </c>
      <c r="C7" s="536"/>
      <c r="D7" s="536"/>
      <c r="E7" s="536"/>
      <c r="F7" s="536"/>
      <c r="G7" s="536"/>
      <c r="H7" s="536"/>
      <c r="I7" s="536"/>
      <c r="J7" s="536"/>
    </row>
    <row r="8" spans="1:10" s="563" customFormat="1" ht="21.6" customHeight="1" thickBot="1">
      <c r="A8" s="536"/>
      <c r="B8" s="565"/>
      <c r="C8" s="1156" t="s">
        <v>818</v>
      </c>
      <c r="D8" s="1157"/>
      <c r="E8" s="1156" t="s">
        <v>819</v>
      </c>
      <c r="F8" s="1158"/>
      <c r="G8" s="1156" t="s">
        <v>820</v>
      </c>
      <c r="H8" s="1158"/>
      <c r="I8" s="1156" t="s">
        <v>821</v>
      </c>
      <c r="J8" s="1158"/>
    </row>
    <row r="9" spans="1:10" s="563" customFormat="1" ht="19.5" customHeight="1" thickTop="1">
      <c r="A9" s="536"/>
      <c r="B9" s="566" t="s">
        <v>822</v>
      </c>
      <c r="C9" s="1159">
        <v>302859</v>
      </c>
      <c r="D9" s="1160"/>
      <c r="E9" s="1159">
        <v>182366</v>
      </c>
      <c r="F9" s="1160"/>
      <c r="G9" s="1159">
        <v>178496</v>
      </c>
      <c r="H9" s="1160"/>
      <c r="I9" s="1161" t="s">
        <v>823</v>
      </c>
      <c r="J9" s="1162"/>
    </row>
    <row r="10" spans="1:10" ht="16.5">
      <c r="B10" s="567" t="s">
        <v>824</v>
      </c>
      <c r="C10" s="1163">
        <v>43</v>
      </c>
      <c r="D10" s="1164"/>
      <c r="E10" s="1165">
        <v>44.6</v>
      </c>
      <c r="F10" s="1166"/>
      <c r="G10" s="1167">
        <v>28.7</v>
      </c>
      <c r="H10" s="1168"/>
      <c r="I10" s="1167">
        <v>68.2</v>
      </c>
      <c r="J10" s="1168"/>
    </row>
    <row r="11" spans="1:10" ht="16.5">
      <c r="B11" s="567" t="s">
        <v>825</v>
      </c>
      <c r="C11" s="1169">
        <v>16.3</v>
      </c>
      <c r="D11" s="1169"/>
      <c r="E11" s="1169">
        <v>17.8</v>
      </c>
      <c r="F11" s="1169"/>
      <c r="G11" s="1169">
        <v>7.9</v>
      </c>
      <c r="H11" s="1169"/>
      <c r="I11" s="1169">
        <v>17.5</v>
      </c>
      <c r="J11" s="1169"/>
    </row>
    <row r="12" spans="1:10" ht="16.5">
      <c r="B12" s="567" t="s">
        <v>826</v>
      </c>
      <c r="C12" s="1170">
        <v>33732</v>
      </c>
      <c r="D12" s="1170"/>
      <c r="E12" s="1170">
        <v>43438</v>
      </c>
      <c r="F12" s="1170"/>
      <c r="G12" s="1170">
        <v>20674</v>
      </c>
      <c r="H12" s="1170"/>
      <c r="I12" s="1170">
        <v>79263</v>
      </c>
      <c r="J12" s="1170"/>
    </row>
    <row r="13" spans="1:10" ht="15.95" customHeight="1">
      <c r="B13" s="568" t="s">
        <v>827</v>
      </c>
      <c r="C13" s="569"/>
      <c r="D13" s="569"/>
      <c r="E13" s="569"/>
      <c r="F13" s="569"/>
      <c r="G13" s="570"/>
      <c r="H13" s="570"/>
      <c r="I13" s="570"/>
      <c r="J13" s="570"/>
    </row>
    <row r="14" spans="1:10" ht="15.95" customHeight="1">
      <c r="B14" s="568" t="s">
        <v>828</v>
      </c>
      <c r="C14" s="569"/>
      <c r="D14" s="569"/>
      <c r="E14" s="569"/>
      <c r="F14" s="569"/>
      <c r="G14" s="570"/>
      <c r="H14" s="570"/>
      <c r="I14" s="570"/>
      <c r="J14" s="570"/>
    </row>
    <row r="15" spans="1:10" ht="15.95" customHeight="1">
      <c r="B15" s="568"/>
      <c r="C15" s="569"/>
      <c r="D15" s="569"/>
      <c r="E15" s="569"/>
      <c r="F15" s="569"/>
      <c r="G15" s="570"/>
      <c r="H15" s="570"/>
      <c r="I15" s="570"/>
      <c r="J15" s="570"/>
    </row>
    <row r="16" spans="1:10" ht="15.95" customHeight="1">
      <c r="B16" s="568"/>
      <c r="C16" s="569"/>
      <c r="D16" s="569"/>
      <c r="E16" s="569"/>
      <c r="F16" s="569"/>
      <c r="G16" s="570"/>
      <c r="H16" s="570"/>
      <c r="I16" s="570"/>
      <c r="J16" s="570"/>
    </row>
    <row r="17" spans="1:10" ht="3" customHeight="1"/>
    <row r="18" spans="1:10" s="563" customFormat="1" ht="19.5" customHeight="1">
      <c r="A18" s="564" t="s">
        <v>829</v>
      </c>
      <c r="B18" s="536" t="s">
        <v>830</v>
      </c>
      <c r="C18" s="536"/>
      <c r="D18" s="536"/>
      <c r="E18" s="536"/>
      <c r="F18" s="536"/>
      <c r="G18" s="536"/>
      <c r="H18" s="536"/>
      <c r="I18" s="536"/>
      <c r="J18" s="570"/>
    </row>
    <row r="19" spans="1:10">
      <c r="B19" s="571" t="s">
        <v>831</v>
      </c>
    </row>
    <row r="20" spans="1:10" ht="21.6" customHeight="1" thickBot="1">
      <c r="B20" s="572"/>
      <c r="C20" s="1156" t="s">
        <v>818</v>
      </c>
      <c r="D20" s="1158"/>
      <c r="E20" s="1156" t="s">
        <v>819</v>
      </c>
      <c r="F20" s="1158"/>
      <c r="G20" s="1156" t="s">
        <v>820</v>
      </c>
      <c r="H20" s="1158"/>
      <c r="I20" s="1156" t="s">
        <v>821</v>
      </c>
      <c r="J20" s="1158"/>
    </row>
    <row r="21" spans="1:10" ht="17.25" thickTop="1">
      <c r="B21" s="566" t="s">
        <v>832</v>
      </c>
      <c r="C21" s="1172">
        <v>0.04</v>
      </c>
      <c r="D21" s="1173"/>
      <c r="E21" s="1172">
        <v>0.04</v>
      </c>
      <c r="F21" s="1173"/>
      <c r="G21" s="1174">
        <v>0.04</v>
      </c>
      <c r="H21" s="1174"/>
      <c r="I21" s="1174">
        <v>0.04</v>
      </c>
      <c r="J21" s="1174"/>
    </row>
    <row r="22" spans="1:10" ht="16.5">
      <c r="B22" s="567" t="s">
        <v>833</v>
      </c>
      <c r="C22" s="1175">
        <v>5.0000000000000001E-3</v>
      </c>
      <c r="D22" s="1175"/>
      <c r="E22" s="1175">
        <v>5.0000000000000001E-3</v>
      </c>
      <c r="F22" s="1175"/>
      <c r="G22" s="1175">
        <v>5.0000000000000001E-3</v>
      </c>
      <c r="H22" s="1175"/>
      <c r="I22" s="1175">
        <v>5.0000000000000001E-3</v>
      </c>
      <c r="J22" s="1175"/>
    </row>
    <row r="23" spans="1:10" ht="18.75" customHeight="1">
      <c r="B23" s="1176" t="s">
        <v>834</v>
      </c>
      <c r="C23" s="1178" t="s">
        <v>835</v>
      </c>
      <c r="D23" s="1179"/>
      <c r="E23" s="1178" t="s">
        <v>835</v>
      </c>
      <c r="F23" s="1179"/>
      <c r="G23" s="1182" t="s">
        <v>836</v>
      </c>
      <c r="H23" s="1183"/>
      <c r="I23" s="1178" t="s">
        <v>837</v>
      </c>
      <c r="J23" s="1179"/>
    </row>
    <row r="24" spans="1:10">
      <c r="B24" s="1177"/>
      <c r="C24" s="1180"/>
      <c r="D24" s="1181"/>
      <c r="E24" s="1180"/>
      <c r="F24" s="1181"/>
      <c r="G24" s="1184"/>
      <c r="H24" s="1185"/>
      <c r="I24" s="1180"/>
      <c r="J24" s="1181"/>
    </row>
    <row r="25" spans="1:10" ht="16.5">
      <c r="B25" s="567" t="s">
        <v>838</v>
      </c>
      <c r="C25" s="1171">
        <v>0.95</v>
      </c>
      <c r="D25" s="1171"/>
      <c r="E25" s="1171">
        <v>0.99</v>
      </c>
      <c r="F25" s="1171"/>
      <c r="G25" s="1171">
        <v>1</v>
      </c>
      <c r="H25" s="1171"/>
      <c r="I25" s="1171">
        <v>1</v>
      </c>
      <c r="J25" s="1171"/>
    </row>
    <row r="26" spans="1:10" ht="16.5">
      <c r="B26" s="573" t="s">
        <v>839</v>
      </c>
      <c r="C26" s="1171">
        <v>0.19</v>
      </c>
      <c r="D26" s="1171"/>
      <c r="E26" s="1171">
        <v>0.18</v>
      </c>
      <c r="F26" s="1171"/>
      <c r="G26" s="1171">
        <v>0.08</v>
      </c>
      <c r="H26" s="1171"/>
      <c r="I26" s="1171">
        <v>0.12</v>
      </c>
      <c r="J26" s="1171"/>
    </row>
    <row r="27" spans="1:10" ht="16.5">
      <c r="B27" s="573" t="s">
        <v>840</v>
      </c>
      <c r="C27" s="1187" t="s">
        <v>841</v>
      </c>
      <c r="D27" s="1187"/>
      <c r="E27" s="1187" t="s">
        <v>842</v>
      </c>
      <c r="F27" s="1187"/>
      <c r="G27" s="1187" t="s">
        <v>843</v>
      </c>
      <c r="H27" s="1187"/>
      <c r="I27" s="1187" t="s">
        <v>844</v>
      </c>
      <c r="J27" s="1187"/>
    </row>
    <row r="28" spans="1:10" ht="6" customHeight="1"/>
    <row r="29" spans="1:10" ht="21.6" customHeight="1" thickBot="1">
      <c r="B29" s="574"/>
      <c r="C29" s="1156" t="s">
        <v>818</v>
      </c>
      <c r="D29" s="1158"/>
      <c r="E29" s="1156" t="s">
        <v>819</v>
      </c>
      <c r="F29" s="1158"/>
      <c r="G29" s="1156" t="s">
        <v>820</v>
      </c>
      <c r="H29" s="1158"/>
      <c r="I29" s="1156" t="s">
        <v>821</v>
      </c>
      <c r="J29" s="1158"/>
    </row>
    <row r="30" spans="1:10" ht="17.25" customHeight="1" thickTop="1">
      <c r="B30" s="575" t="s">
        <v>845</v>
      </c>
      <c r="C30" s="576"/>
      <c r="D30" s="577"/>
      <c r="E30" s="1188" t="s">
        <v>846</v>
      </c>
      <c r="F30" s="1188"/>
      <c r="G30" s="578"/>
      <c r="H30" s="578"/>
      <c r="I30" s="578"/>
      <c r="J30" s="579"/>
    </row>
    <row r="31" spans="1:10" ht="16.5" customHeight="1">
      <c r="B31" s="580" t="s">
        <v>847</v>
      </c>
      <c r="C31" s="581"/>
      <c r="D31" s="582"/>
      <c r="E31" s="1186" t="s">
        <v>848</v>
      </c>
      <c r="F31" s="1186"/>
      <c r="G31" s="583"/>
      <c r="H31" s="583"/>
      <c r="I31" s="583"/>
      <c r="J31" s="584"/>
    </row>
    <row r="32" spans="1:10" ht="50.25" customHeight="1">
      <c r="B32" s="1189" t="s">
        <v>849</v>
      </c>
      <c r="C32" s="1191" t="s">
        <v>850</v>
      </c>
      <c r="D32" s="1192"/>
      <c r="E32" s="1191" t="s">
        <v>851</v>
      </c>
      <c r="F32" s="1192"/>
      <c r="G32" s="1191" t="s">
        <v>852</v>
      </c>
      <c r="H32" s="1192"/>
      <c r="I32" s="1191" t="s">
        <v>853</v>
      </c>
      <c r="J32" s="1192"/>
    </row>
    <row r="33" spans="1:10" ht="34.5" customHeight="1">
      <c r="B33" s="1190"/>
      <c r="C33" s="1193"/>
      <c r="D33" s="1194"/>
      <c r="E33" s="1193"/>
      <c r="F33" s="1194"/>
      <c r="G33" s="1193" t="s">
        <v>854</v>
      </c>
      <c r="H33" s="1194"/>
      <c r="I33" s="585"/>
      <c r="J33" s="586"/>
    </row>
    <row r="34" spans="1:10" ht="17.25" customHeight="1">
      <c r="A34" s="564"/>
      <c r="B34" s="587"/>
      <c r="C34" s="1195" t="s">
        <v>855</v>
      </c>
      <c r="D34" s="1195"/>
      <c r="E34" s="1195" t="s">
        <v>856</v>
      </c>
      <c r="F34" s="1195"/>
      <c r="G34" s="1196" t="s">
        <v>857</v>
      </c>
      <c r="H34" s="1195"/>
      <c r="I34" s="1195" t="s">
        <v>858</v>
      </c>
      <c r="J34" s="1195"/>
    </row>
    <row r="35" spans="1:10" ht="17.25" customHeight="1">
      <c r="A35" s="564"/>
      <c r="B35" s="588" t="s">
        <v>859</v>
      </c>
      <c r="C35" s="1195"/>
      <c r="D35" s="1195"/>
      <c r="E35" s="1195" t="s">
        <v>860</v>
      </c>
      <c r="F35" s="1195"/>
      <c r="G35" s="1195" t="s">
        <v>861</v>
      </c>
      <c r="H35" s="1195"/>
      <c r="I35" s="1195" t="s">
        <v>861</v>
      </c>
      <c r="J35" s="1195"/>
    </row>
    <row r="36" spans="1:10" ht="17.25" customHeight="1">
      <c r="A36" s="564"/>
      <c r="B36" s="589"/>
      <c r="C36" s="1195"/>
      <c r="D36" s="1195"/>
      <c r="E36" s="1195" t="s">
        <v>862</v>
      </c>
      <c r="F36" s="1195"/>
      <c r="G36" s="1195" t="s">
        <v>863</v>
      </c>
      <c r="H36" s="1195"/>
      <c r="I36" s="1195" t="s">
        <v>863</v>
      </c>
      <c r="J36" s="1195"/>
    </row>
    <row r="37" spans="1:10" s="368" customFormat="1" ht="16.149999999999999" customHeight="1">
      <c r="B37" s="590" t="s">
        <v>864</v>
      </c>
    </row>
    <row r="38" spans="1:10" s="368" customFormat="1" ht="4.1500000000000004" customHeight="1">
      <c r="B38" s="590"/>
    </row>
    <row r="39" spans="1:10" ht="16.5">
      <c r="A39" s="564" t="s">
        <v>865</v>
      </c>
      <c r="B39" s="536" t="s">
        <v>866</v>
      </c>
    </row>
    <row r="40" spans="1:10" ht="18.75" customHeight="1">
      <c r="B40" s="368" t="s">
        <v>867</v>
      </c>
    </row>
    <row r="41" spans="1:10" ht="3" customHeight="1"/>
    <row r="42" spans="1:10" ht="16.5">
      <c r="B42" s="536" t="s">
        <v>868</v>
      </c>
      <c r="H42" s="591" t="s">
        <v>869</v>
      </c>
    </row>
    <row r="43" spans="1:10" ht="20.100000000000001" customHeight="1">
      <c r="B43" s="1197" t="s">
        <v>870</v>
      </c>
      <c r="C43" s="1167" t="s">
        <v>818</v>
      </c>
      <c r="D43" s="1168"/>
      <c r="E43" s="1167" t="s">
        <v>819</v>
      </c>
      <c r="F43" s="1168"/>
      <c r="G43" s="1197" t="s">
        <v>820</v>
      </c>
      <c r="H43" s="1197" t="s">
        <v>821</v>
      </c>
      <c r="I43" s="592"/>
      <c r="J43" s="591"/>
    </row>
    <row r="44" spans="1:10" ht="20.100000000000001" customHeight="1" thickBot="1">
      <c r="B44" s="1198"/>
      <c r="C44" s="593" t="s">
        <v>871</v>
      </c>
      <c r="D44" s="593" t="s">
        <v>872</v>
      </c>
      <c r="E44" s="593" t="s">
        <v>871</v>
      </c>
      <c r="F44" s="593" t="s">
        <v>872</v>
      </c>
      <c r="G44" s="1198"/>
      <c r="H44" s="1198"/>
      <c r="I44" s="591"/>
    </row>
    <row r="45" spans="1:10" ht="16.5" thickTop="1">
      <c r="B45" s="594" t="s">
        <v>873</v>
      </c>
      <c r="C45" s="595">
        <v>1.36</v>
      </c>
      <c r="D45" s="595">
        <v>3.77</v>
      </c>
      <c r="E45" s="595">
        <v>0.85</v>
      </c>
      <c r="F45" s="595">
        <v>2.0099999999999998</v>
      </c>
      <c r="G45" s="595">
        <v>0.16</v>
      </c>
      <c r="H45" s="595" t="s">
        <v>498</v>
      </c>
      <c r="I45" s="596"/>
      <c r="J45" s="597"/>
    </row>
    <row r="46" spans="1:10">
      <c r="B46" s="598" t="s">
        <v>874</v>
      </c>
      <c r="C46" s="599">
        <v>3.11</v>
      </c>
      <c r="D46" s="599">
        <v>4.54</v>
      </c>
      <c r="E46" s="599">
        <v>2.37</v>
      </c>
      <c r="F46" s="599">
        <v>1.55</v>
      </c>
      <c r="G46" s="599">
        <v>7.0000000000000007E-2</v>
      </c>
      <c r="H46" s="599" t="s">
        <v>498</v>
      </c>
      <c r="I46" s="596"/>
      <c r="J46" s="597"/>
    </row>
    <row r="47" spans="1:10">
      <c r="B47" s="598" t="s">
        <v>875</v>
      </c>
      <c r="C47" s="599">
        <v>3.92</v>
      </c>
      <c r="D47" s="599">
        <v>3.12</v>
      </c>
      <c r="E47" s="599">
        <v>1.1200000000000001</v>
      </c>
      <c r="F47" s="599">
        <v>1.7</v>
      </c>
      <c r="G47" s="599">
        <v>0.12</v>
      </c>
      <c r="H47" s="599" t="s">
        <v>498</v>
      </c>
      <c r="I47" s="596"/>
      <c r="J47" s="597"/>
    </row>
    <row r="48" spans="1:10">
      <c r="B48" s="598" t="s">
        <v>876</v>
      </c>
      <c r="C48" s="599">
        <v>2.93</v>
      </c>
      <c r="D48" s="599">
        <v>2.34</v>
      </c>
      <c r="E48" s="599">
        <v>0.65</v>
      </c>
      <c r="F48" s="599">
        <v>0.83</v>
      </c>
      <c r="G48" s="599">
        <v>0.15</v>
      </c>
      <c r="H48" s="599" t="s">
        <v>498</v>
      </c>
      <c r="I48" s="596"/>
      <c r="J48" s="597"/>
    </row>
    <row r="49" spans="2:10">
      <c r="B49" s="598" t="s">
        <v>877</v>
      </c>
      <c r="C49" s="599">
        <v>1.77</v>
      </c>
      <c r="D49" s="599">
        <v>1.46</v>
      </c>
      <c r="E49" s="599">
        <v>0.49</v>
      </c>
      <c r="F49" s="599">
        <v>0.5</v>
      </c>
      <c r="G49" s="599">
        <v>0.28999999999999998</v>
      </c>
      <c r="H49" s="599" t="s">
        <v>498</v>
      </c>
      <c r="I49" s="596"/>
      <c r="J49" s="597"/>
    </row>
    <row r="50" spans="2:10">
      <c r="B50" s="598" t="s">
        <v>878</v>
      </c>
      <c r="C50" s="599">
        <v>1.01</v>
      </c>
      <c r="D50" s="599">
        <v>0.9</v>
      </c>
      <c r="E50" s="599">
        <v>0.43</v>
      </c>
      <c r="F50" s="599">
        <v>0.36</v>
      </c>
      <c r="G50" s="599">
        <v>0.99</v>
      </c>
      <c r="H50" s="599">
        <v>28.57</v>
      </c>
      <c r="I50" s="596"/>
      <c r="J50" s="597"/>
    </row>
    <row r="51" spans="2:10">
      <c r="B51" s="598" t="s">
        <v>879</v>
      </c>
      <c r="C51" s="599">
        <v>0.88</v>
      </c>
      <c r="D51" s="599">
        <v>0.59</v>
      </c>
      <c r="E51" s="599">
        <v>0.43</v>
      </c>
      <c r="F51" s="599">
        <v>0.24</v>
      </c>
      <c r="G51" s="599">
        <v>0.99</v>
      </c>
      <c r="H51" s="599">
        <v>17.07</v>
      </c>
      <c r="I51" s="596"/>
      <c r="J51" s="597"/>
    </row>
    <row r="52" spans="2:10">
      <c r="B52" s="598" t="s">
        <v>880</v>
      </c>
      <c r="C52" s="599">
        <v>1.25</v>
      </c>
      <c r="D52" s="599">
        <v>0.5</v>
      </c>
      <c r="E52" s="599">
        <v>0.25</v>
      </c>
      <c r="F52" s="599">
        <v>0.24</v>
      </c>
      <c r="G52" s="599">
        <v>0.99</v>
      </c>
      <c r="H52" s="599">
        <v>21.43</v>
      </c>
      <c r="I52" s="596"/>
      <c r="J52" s="597"/>
    </row>
    <row r="53" spans="2:10">
      <c r="B53" s="598" t="s">
        <v>881</v>
      </c>
      <c r="C53" s="599">
        <v>1.18</v>
      </c>
      <c r="D53" s="599">
        <v>0.51</v>
      </c>
      <c r="E53" s="599">
        <v>0.23</v>
      </c>
      <c r="F53" s="599">
        <v>0.42</v>
      </c>
      <c r="G53" s="599">
        <v>0.99</v>
      </c>
      <c r="H53" s="599">
        <v>8.94</v>
      </c>
      <c r="I53" s="596"/>
      <c r="J53" s="597"/>
    </row>
    <row r="54" spans="2:10">
      <c r="B54" s="598" t="s">
        <v>882</v>
      </c>
      <c r="C54" s="599" t="s">
        <v>498</v>
      </c>
      <c r="D54" s="599" t="s">
        <v>498</v>
      </c>
      <c r="E54" s="600" t="s">
        <v>498</v>
      </c>
      <c r="F54" s="599" t="s">
        <v>498</v>
      </c>
      <c r="G54" s="600" t="s">
        <v>498</v>
      </c>
      <c r="H54" s="599">
        <v>22.25</v>
      </c>
      <c r="I54" s="601"/>
      <c r="J54" s="597"/>
    </row>
    <row r="55" spans="2:10">
      <c r="B55" s="598" t="s">
        <v>883</v>
      </c>
      <c r="C55" s="599" t="s">
        <v>498</v>
      </c>
      <c r="D55" s="599" t="s">
        <v>498</v>
      </c>
      <c r="E55" s="600" t="s">
        <v>498</v>
      </c>
      <c r="F55" s="599" t="s">
        <v>498</v>
      </c>
      <c r="G55" s="600" t="s">
        <v>498</v>
      </c>
      <c r="H55" s="599">
        <v>25</v>
      </c>
      <c r="I55" s="601"/>
      <c r="J55" s="597"/>
    </row>
  </sheetData>
  <mergeCells count="70">
    <mergeCell ref="C34:D36"/>
    <mergeCell ref="E34:F36"/>
    <mergeCell ref="G34:H36"/>
    <mergeCell ref="I34:J36"/>
    <mergeCell ref="B43:B44"/>
    <mergeCell ref="C43:D43"/>
    <mergeCell ref="E43:F43"/>
    <mergeCell ref="G43:G44"/>
    <mergeCell ref="H43:H44"/>
    <mergeCell ref="B32:B33"/>
    <mergeCell ref="C32:D33"/>
    <mergeCell ref="E32:F33"/>
    <mergeCell ref="G32:H32"/>
    <mergeCell ref="I32:J32"/>
    <mergeCell ref="G33:H33"/>
    <mergeCell ref="E31:F31"/>
    <mergeCell ref="C26:D26"/>
    <mergeCell ref="E26:F26"/>
    <mergeCell ref="G26:H26"/>
    <mergeCell ref="I26:J26"/>
    <mergeCell ref="C27:D27"/>
    <mergeCell ref="E27:F27"/>
    <mergeCell ref="G27:H27"/>
    <mergeCell ref="I27:J27"/>
    <mergeCell ref="C29:D29"/>
    <mergeCell ref="E29:F29"/>
    <mergeCell ref="G29:H29"/>
    <mergeCell ref="I29:J29"/>
    <mergeCell ref="E30:F30"/>
    <mergeCell ref="B23:B24"/>
    <mergeCell ref="C23:D24"/>
    <mergeCell ref="E23:F24"/>
    <mergeCell ref="G23:H24"/>
    <mergeCell ref="I23:J24"/>
    <mergeCell ref="C25:D25"/>
    <mergeCell ref="E25:F25"/>
    <mergeCell ref="G25:H25"/>
    <mergeCell ref="I25:J25"/>
    <mergeCell ref="C21:D21"/>
    <mergeCell ref="E21:F21"/>
    <mergeCell ref="G21:H21"/>
    <mergeCell ref="I21:J21"/>
    <mergeCell ref="C22:D22"/>
    <mergeCell ref="E22:F22"/>
    <mergeCell ref="G22:H22"/>
    <mergeCell ref="I22:J22"/>
    <mergeCell ref="C12:D12"/>
    <mergeCell ref="E12:F12"/>
    <mergeCell ref="G12:H12"/>
    <mergeCell ref="I12:J12"/>
    <mergeCell ref="C20:D20"/>
    <mergeCell ref="E20:F20"/>
    <mergeCell ref="G20:H20"/>
    <mergeCell ref="I20:J20"/>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s>
  <phoneticPr fontId="3" type="noConversion"/>
  <pageMargins left="0.78740157480314965" right="0.78740157480314965" top="0.47244094488188981" bottom="0.55118110236220474" header="0.31496062992125984" footer="0.31496062992125984"/>
  <pageSetup paperSize="9" scale="86" fitToWidth="2" orientation="portrait" r:id="rId1"/>
  <headerFooter alignWithMargins="0"/>
</worksheet>
</file>

<file path=xl/worksheets/sheet62.xml><?xml version="1.0" encoding="utf-8"?>
<worksheet xmlns="http://schemas.openxmlformats.org/spreadsheetml/2006/main" xmlns:r="http://schemas.openxmlformats.org/officeDocument/2006/relationships">
  <sheetPr>
    <tabColor indexed="43"/>
  </sheetPr>
  <dimension ref="B1:P53"/>
  <sheetViews>
    <sheetView topLeftCell="C7" zoomScaleNormal="75" zoomScaleSheetLayoutView="130" workbookViewId="0">
      <selection activeCell="E20" sqref="E20"/>
    </sheetView>
  </sheetViews>
  <sheetFormatPr defaultRowHeight="15.75"/>
  <cols>
    <col min="1" max="1" width="2.625" style="536" customWidth="1"/>
    <col min="2" max="2" width="28.5" style="536" customWidth="1"/>
    <col min="3" max="8" width="10.875" style="536" customWidth="1"/>
    <col min="9" max="9" width="13" style="536" customWidth="1"/>
    <col min="10" max="10" width="9" style="536"/>
    <col min="11" max="14" width="9.125" style="536" bestFit="1" customWidth="1"/>
    <col min="15" max="16" width="9.875" style="536" bestFit="1" customWidth="1"/>
    <col min="17" max="256" width="9" style="536"/>
    <col min="257" max="257" width="2.625" style="536" customWidth="1"/>
    <col min="258" max="258" width="28.5" style="536" customWidth="1"/>
    <col min="259" max="264" width="10.875" style="536" customWidth="1"/>
    <col min="265" max="265" width="13" style="536" customWidth="1"/>
    <col min="266" max="266" width="9" style="536"/>
    <col min="267" max="270" width="9.125" style="536" bestFit="1" customWidth="1"/>
    <col min="271" max="272" width="9.875" style="536" bestFit="1" customWidth="1"/>
    <col min="273" max="512" width="9" style="536"/>
    <col min="513" max="513" width="2.625" style="536" customWidth="1"/>
    <col min="514" max="514" width="28.5" style="536" customWidth="1"/>
    <col min="515" max="520" width="10.875" style="536" customWidth="1"/>
    <col min="521" max="521" width="13" style="536" customWidth="1"/>
    <col min="522" max="522" width="9" style="536"/>
    <col min="523" max="526" width="9.125" style="536" bestFit="1" customWidth="1"/>
    <col min="527" max="528" width="9.875" style="536" bestFit="1" customWidth="1"/>
    <col min="529" max="768" width="9" style="536"/>
    <col min="769" max="769" width="2.625" style="536" customWidth="1"/>
    <col min="770" max="770" width="28.5" style="536" customWidth="1"/>
    <col min="771" max="776" width="10.875" style="536" customWidth="1"/>
    <col min="777" max="777" width="13" style="536" customWidth="1"/>
    <col min="778" max="778" width="9" style="536"/>
    <col min="779" max="782" width="9.125" style="536" bestFit="1" customWidth="1"/>
    <col min="783" max="784" width="9.875" style="536" bestFit="1" customWidth="1"/>
    <col min="785" max="1024" width="9" style="536"/>
    <col min="1025" max="1025" width="2.625" style="536" customWidth="1"/>
    <col min="1026" max="1026" width="28.5" style="536" customWidth="1"/>
    <col min="1027" max="1032" width="10.875" style="536" customWidth="1"/>
    <col min="1033" max="1033" width="13" style="536" customWidth="1"/>
    <col min="1034" max="1034" width="9" style="536"/>
    <col min="1035" max="1038" width="9.125" style="536" bestFit="1" customWidth="1"/>
    <col min="1039" max="1040" width="9.875" style="536" bestFit="1" customWidth="1"/>
    <col min="1041" max="1280" width="9" style="536"/>
    <col min="1281" max="1281" width="2.625" style="536" customWidth="1"/>
    <col min="1282" max="1282" width="28.5" style="536" customWidth="1"/>
    <col min="1283" max="1288" width="10.875" style="536" customWidth="1"/>
    <col min="1289" max="1289" width="13" style="536" customWidth="1"/>
    <col min="1290" max="1290" width="9" style="536"/>
    <col min="1291" max="1294" width="9.125" style="536" bestFit="1" customWidth="1"/>
    <col min="1295" max="1296" width="9.875" style="536" bestFit="1" customWidth="1"/>
    <col min="1297" max="1536" width="9" style="536"/>
    <col min="1537" max="1537" width="2.625" style="536" customWidth="1"/>
    <col min="1538" max="1538" width="28.5" style="536" customWidth="1"/>
    <col min="1539" max="1544" width="10.875" style="536" customWidth="1"/>
    <col min="1545" max="1545" width="13" style="536" customWidth="1"/>
    <col min="1546" max="1546" width="9" style="536"/>
    <col min="1547" max="1550" width="9.125" style="536" bestFit="1" customWidth="1"/>
    <col min="1551" max="1552" width="9.875" style="536" bestFit="1" customWidth="1"/>
    <col min="1553" max="1792" width="9" style="536"/>
    <col min="1793" max="1793" width="2.625" style="536" customWidth="1"/>
    <col min="1794" max="1794" width="28.5" style="536" customWidth="1"/>
    <col min="1795" max="1800" width="10.875" style="536" customWidth="1"/>
    <col min="1801" max="1801" width="13" style="536" customWidth="1"/>
    <col min="1802" max="1802" width="9" style="536"/>
    <col min="1803" max="1806" width="9.125" style="536" bestFit="1" customWidth="1"/>
    <col min="1807" max="1808" width="9.875" style="536" bestFit="1" customWidth="1"/>
    <col min="1809" max="2048" width="9" style="536"/>
    <col min="2049" max="2049" width="2.625" style="536" customWidth="1"/>
    <col min="2050" max="2050" width="28.5" style="536" customWidth="1"/>
    <col min="2051" max="2056" width="10.875" style="536" customWidth="1"/>
    <col min="2057" max="2057" width="13" style="536" customWidth="1"/>
    <col min="2058" max="2058" width="9" style="536"/>
    <col min="2059" max="2062" width="9.125" style="536" bestFit="1" customWidth="1"/>
    <col min="2063" max="2064" width="9.875" style="536" bestFit="1" customWidth="1"/>
    <col min="2065" max="2304" width="9" style="536"/>
    <col min="2305" max="2305" width="2.625" style="536" customWidth="1"/>
    <col min="2306" max="2306" width="28.5" style="536" customWidth="1"/>
    <col min="2307" max="2312" width="10.875" style="536" customWidth="1"/>
    <col min="2313" max="2313" width="13" style="536" customWidth="1"/>
    <col min="2314" max="2314" width="9" style="536"/>
    <col min="2315" max="2318" width="9.125" style="536" bestFit="1" customWidth="1"/>
    <col min="2319" max="2320" width="9.875" style="536" bestFit="1" customWidth="1"/>
    <col min="2321" max="2560" width="9" style="536"/>
    <col min="2561" max="2561" width="2.625" style="536" customWidth="1"/>
    <col min="2562" max="2562" width="28.5" style="536" customWidth="1"/>
    <col min="2563" max="2568" width="10.875" style="536" customWidth="1"/>
    <col min="2569" max="2569" width="13" style="536" customWidth="1"/>
    <col min="2570" max="2570" width="9" style="536"/>
    <col min="2571" max="2574" width="9.125" style="536" bestFit="1" customWidth="1"/>
    <col min="2575" max="2576" width="9.875" style="536" bestFit="1" customWidth="1"/>
    <col min="2577" max="2816" width="9" style="536"/>
    <col min="2817" max="2817" width="2.625" style="536" customWidth="1"/>
    <col min="2818" max="2818" width="28.5" style="536" customWidth="1"/>
    <col min="2819" max="2824" width="10.875" style="536" customWidth="1"/>
    <col min="2825" max="2825" width="13" style="536" customWidth="1"/>
    <col min="2826" max="2826" width="9" style="536"/>
    <col min="2827" max="2830" width="9.125" style="536" bestFit="1" customWidth="1"/>
    <col min="2831" max="2832" width="9.875" style="536" bestFit="1" customWidth="1"/>
    <col min="2833" max="3072" width="9" style="536"/>
    <col min="3073" max="3073" width="2.625" style="536" customWidth="1"/>
    <col min="3074" max="3074" width="28.5" style="536" customWidth="1"/>
    <col min="3075" max="3080" width="10.875" style="536" customWidth="1"/>
    <col min="3081" max="3081" width="13" style="536" customWidth="1"/>
    <col min="3082" max="3082" width="9" style="536"/>
    <col min="3083" max="3086" width="9.125" style="536" bestFit="1" customWidth="1"/>
    <col min="3087" max="3088" width="9.875" style="536" bestFit="1" customWidth="1"/>
    <col min="3089" max="3328" width="9" style="536"/>
    <col min="3329" max="3329" width="2.625" style="536" customWidth="1"/>
    <col min="3330" max="3330" width="28.5" style="536" customWidth="1"/>
    <col min="3331" max="3336" width="10.875" style="536" customWidth="1"/>
    <col min="3337" max="3337" width="13" style="536" customWidth="1"/>
    <col min="3338" max="3338" width="9" style="536"/>
    <col min="3339" max="3342" width="9.125" style="536" bestFit="1" customWidth="1"/>
    <col min="3343" max="3344" width="9.875" style="536" bestFit="1" customWidth="1"/>
    <col min="3345" max="3584" width="9" style="536"/>
    <col min="3585" max="3585" width="2.625" style="536" customWidth="1"/>
    <col min="3586" max="3586" width="28.5" style="536" customWidth="1"/>
    <col min="3587" max="3592" width="10.875" style="536" customWidth="1"/>
    <col min="3593" max="3593" width="13" style="536" customWidth="1"/>
    <col min="3594" max="3594" width="9" style="536"/>
    <col min="3595" max="3598" width="9.125" style="536" bestFit="1" customWidth="1"/>
    <col min="3599" max="3600" width="9.875" style="536" bestFit="1" customWidth="1"/>
    <col min="3601" max="3840" width="9" style="536"/>
    <col min="3841" max="3841" width="2.625" style="536" customWidth="1"/>
    <col min="3842" max="3842" width="28.5" style="536" customWidth="1"/>
    <col min="3843" max="3848" width="10.875" style="536" customWidth="1"/>
    <col min="3849" max="3849" width="13" style="536" customWidth="1"/>
    <col min="3850" max="3850" width="9" style="536"/>
    <col min="3851" max="3854" width="9.125" style="536" bestFit="1" customWidth="1"/>
    <col min="3855" max="3856" width="9.875" style="536" bestFit="1" customWidth="1"/>
    <col min="3857" max="4096" width="9" style="536"/>
    <col min="4097" max="4097" width="2.625" style="536" customWidth="1"/>
    <col min="4098" max="4098" width="28.5" style="536" customWidth="1"/>
    <col min="4099" max="4104" width="10.875" style="536" customWidth="1"/>
    <col min="4105" max="4105" width="13" style="536" customWidth="1"/>
    <col min="4106" max="4106" width="9" style="536"/>
    <col min="4107" max="4110" width="9.125" style="536" bestFit="1" customWidth="1"/>
    <col min="4111" max="4112" width="9.875" style="536" bestFit="1" customWidth="1"/>
    <col min="4113" max="4352" width="9" style="536"/>
    <col min="4353" max="4353" width="2.625" style="536" customWidth="1"/>
    <col min="4354" max="4354" width="28.5" style="536" customWidth="1"/>
    <col min="4355" max="4360" width="10.875" style="536" customWidth="1"/>
    <col min="4361" max="4361" width="13" style="536" customWidth="1"/>
    <col min="4362" max="4362" width="9" style="536"/>
    <col min="4363" max="4366" width="9.125" style="536" bestFit="1" customWidth="1"/>
    <col min="4367" max="4368" width="9.875" style="536" bestFit="1" customWidth="1"/>
    <col min="4369" max="4608" width="9" style="536"/>
    <col min="4609" max="4609" width="2.625" style="536" customWidth="1"/>
    <col min="4610" max="4610" width="28.5" style="536" customWidth="1"/>
    <col min="4611" max="4616" width="10.875" style="536" customWidth="1"/>
    <col min="4617" max="4617" width="13" style="536" customWidth="1"/>
    <col min="4618" max="4618" width="9" style="536"/>
    <col min="4619" max="4622" width="9.125" style="536" bestFit="1" customWidth="1"/>
    <col min="4623" max="4624" width="9.875" style="536" bestFit="1" customWidth="1"/>
    <col min="4625" max="4864" width="9" style="536"/>
    <col min="4865" max="4865" width="2.625" style="536" customWidth="1"/>
    <col min="4866" max="4866" width="28.5" style="536" customWidth="1"/>
    <col min="4867" max="4872" width="10.875" style="536" customWidth="1"/>
    <col min="4873" max="4873" width="13" style="536" customWidth="1"/>
    <col min="4874" max="4874" width="9" style="536"/>
    <col min="4875" max="4878" width="9.125" style="536" bestFit="1" customWidth="1"/>
    <col min="4879" max="4880" width="9.875" style="536" bestFit="1" customWidth="1"/>
    <col min="4881" max="5120" width="9" style="536"/>
    <col min="5121" max="5121" width="2.625" style="536" customWidth="1"/>
    <col min="5122" max="5122" width="28.5" style="536" customWidth="1"/>
    <col min="5123" max="5128" width="10.875" style="536" customWidth="1"/>
    <col min="5129" max="5129" width="13" style="536" customWidth="1"/>
    <col min="5130" max="5130" width="9" style="536"/>
    <col min="5131" max="5134" width="9.125" style="536" bestFit="1" customWidth="1"/>
    <col min="5135" max="5136" width="9.875" style="536" bestFit="1" customWidth="1"/>
    <col min="5137" max="5376" width="9" style="536"/>
    <col min="5377" max="5377" width="2.625" style="536" customWidth="1"/>
    <col min="5378" max="5378" width="28.5" style="536" customWidth="1"/>
    <col min="5379" max="5384" width="10.875" style="536" customWidth="1"/>
    <col min="5385" max="5385" width="13" style="536" customWidth="1"/>
    <col min="5386" max="5386" width="9" style="536"/>
    <col min="5387" max="5390" width="9.125" style="536" bestFit="1" customWidth="1"/>
    <col min="5391" max="5392" width="9.875" style="536" bestFit="1" customWidth="1"/>
    <col min="5393" max="5632" width="9" style="536"/>
    <col min="5633" max="5633" width="2.625" style="536" customWidth="1"/>
    <col min="5634" max="5634" width="28.5" style="536" customWidth="1"/>
    <col min="5635" max="5640" width="10.875" style="536" customWidth="1"/>
    <col min="5641" max="5641" width="13" style="536" customWidth="1"/>
    <col min="5642" max="5642" width="9" style="536"/>
    <col min="5643" max="5646" width="9.125" style="536" bestFit="1" customWidth="1"/>
    <col min="5647" max="5648" width="9.875" style="536" bestFit="1" customWidth="1"/>
    <col min="5649" max="5888" width="9" style="536"/>
    <col min="5889" max="5889" width="2.625" style="536" customWidth="1"/>
    <col min="5890" max="5890" width="28.5" style="536" customWidth="1"/>
    <col min="5891" max="5896" width="10.875" style="536" customWidth="1"/>
    <col min="5897" max="5897" width="13" style="536" customWidth="1"/>
    <col min="5898" max="5898" width="9" style="536"/>
    <col min="5899" max="5902" width="9.125" style="536" bestFit="1" customWidth="1"/>
    <col min="5903" max="5904" width="9.875" style="536" bestFit="1" customWidth="1"/>
    <col min="5905" max="6144" width="9" style="536"/>
    <col min="6145" max="6145" width="2.625" style="536" customWidth="1"/>
    <col min="6146" max="6146" width="28.5" style="536" customWidth="1"/>
    <col min="6147" max="6152" width="10.875" style="536" customWidth="1"/>
    <col min="6153" max="6153" width="13" style="536" customWidth="1"/>
    <col min="6154" max="6154" width="9" style="536"/>
    <col min="6155" max="6158" width="9.125" style="536" bestFit="1" customWidth="1"/>
    <col min="6159" max="6160" width="9.875" style="536" bestFit="1" customWidth="1"/>
    <col min="6161" max="6400" width="9" style="536"/>
    <col min="6401" max="6401" width="2.625" style="536" customWidth="1"/>
    <col min="6402" max="6402" width="28.5" style="536" customWidth="1"/>
    <col min="6403" max="6408" width="10.875" style="536" customWidth="1"/>
    <col min="6409" max="6409" width="13" style="536" customWidth="1"/>
    <col min="6410" max="6410" width="9" style="536"/>
    <col min="6411" max="6414" width="9.125" style="536" bestFit="1" customWidth="1"/>
    <col min="6415" max="6416" width="9.875" style="536" bestFit="1" customWidth="1"/>
    <col min="6417" max="6656" width="9" style="536"/>
    <col min="6657" max="6657" width="2.625" style="536" customWidth="1"/>
    <col min="6658" max="6658" width="28.5" style="536" customWidth="1"/>
    <col min="6659" max="6664" width="10.875" style="536" customWidth="1"/>
    <col min="6665" max="6665" width="13" style="536" customWidth="1"/>
    <col min="6666" max="6666" width="9" style="536"/>
    <col min="6667" max="6670" width="9.125" style="536" bestFit="1" customWidth="1"/>
    <col min="6671" max="6672" width="9.875" style="536" bestFit="1" customWidth="1"/>
    <col min="6673" max="6912" width="9" style="536"/>
    <col min="6913" max="6913" width="2.625" style="536" customWidth="1"/>
    <col min="6914" max="6914" width="28.5" style="536" customWidth="1"/>
    <col min="6915" max="6920" width="10.875" style="536" customWidth="1"/>
    <col min="6921" max="6921" width="13" style="536" customWidth="1"/>
    <col min="6922" max="6922" width="9" style="536"/>
    <col min="6923" max="6926" width="9.125" style="536" bestFit="1" customWidth="1"/>
    <col min="6927" max="6928" width="9.875" style="536" bestFit="1" customWidth="1"/>
    <col min="6929" max="7168" width="9" style="536"/>
    <col min="7169" max="7169" width="2.625" style="536" customWidth="1"/>
    <col min="7170" max="7170" width="28.5" style="536" customWidth="1"/>
    <col min="7171" max="7176" width="10.875" style="536" customWidth="1"/>
    <col min="7177" max="7177" width="13" style="536" customWidth="1"/>
    <col min="7178" max="7178" width="9" style="536"/>
    <col min="7179" max="7182" width="9.125" style="536" bestFit="1" customWidth="1"/>
    <col min="7183" max="7184" width="9.875" style="536" bestFit="1" customWidth="1"/>
    <col min="7185" max="7424" width="9" style="536"/>
    <col min="7425" max="7425" width="2.625" style="536" customWidth="1"/>
    <col min="7426" max="7426" width="28.5" style="536" customWidth="1"/>
    <col min="7427" max="7432" width="10.875" style="536" customWidth="1"/>
    <col min="7433" max="7433" width="13" style="536" customWidth="1"/>
    <col min="7434" max="7434" width="9" style="536"/>
    <col min="7435" max="7438" width="9.125" style="536" bestFit="1" customWidth="1"/>
    <col min="7439" max="7440" width="9.875" style="536" bestFit="1" customWidth="1"/>
    <col min="7441" max="7680" width="9" style="536"/>
    <col min="7681" max="7681" width="2.625" style="536" customWidth="1"/>
    <col min="7682" max="7682" width="28.5" style="536" customWidth="1"/>
    <col min="7683" max="7688" width="10.875" style="536" customWidth="1"/>
    <col min="7689" max="7689" width="13" style="536" customWidth="1"/>
    <col min="7690" max="7690" width="9" style="536"/>
    <col min="7691" max="7694" width="9.125" style="536" bestFit="1" customWidth="1"/>
    <col min="7695" max="7696" width="9.875" style="536" bestFit="1" customWidth="1"/>
    <col min="7697" max="7936" width="9" style="536"/>
    <col min="7937" max="7937" width="2.625" style="536" customWidth="1"/>
    <col min="7938" max="7938" width="28.5" style="536" customWidth="1"/>
    <col min="7939" max="7944" width="10.875" style="536" customWidth="1"/>
    <col min="7945" max="7945" width="13" style="536" customWidth="1"/>
    <col min="7946" max="7946" width="9" style="536"/>
    <col min="7947" max="7950" width="9.125" style="536" bestFit="1" customWidth="1"/>
    <col min="7951" max="7952" width="9.875" style="536" bestFit="1" customWidth="1"/>
    <col min="7953" max="8192" width="9" style="536"/>
    <col min="8193" max="8193" width="2.625" style="536" customWidth="1"/>
    <col min="8194" max="8194" width="28.5" style="536" customWidth="1"/>
    <col min="8195" max="8200" width="10.875" style="536" customWidth="1"/>
    <col min="8201" max="8201" width="13" style="536" customWidth="1"/>
    <col min="8202" max="8202" width="9" style="536"/>
    <col min="8203" max="8206" width="9.125" style="536" bestFit="1" customWidth="1"/>
    <col min="8207" max="8208" width="9.875" style="536" bestFit="1" customWidth="1"/>
    <col min="8209" max="8448" width="9" style="536"/>
    <col min="8449" max="8449" width="2.625" style="536" customWidth="1"/>
    <col min="8450" max="8450" width="28.5" style="536" customWidth="1"/>
    <col min="8451" max="8456" width="10.875" style="536" customWidth="1"/>
    <col min="8457" max="8457" width="13" style="536" customWidth="1"/>
    <col min="8458" max="8458" width="9" style="536"/>
    <col min="8459" max="8462" width="9.125" style="536" bestFit="1" customWidth="1"/>
    <col min="8463" max="8464" width="9.875" style="536" bestFit="1" customWidth="1"/>
    <col min="8465" max="8704" width="9" style="536"/>
    <col min="8705" max="8705" width="2.625" style="536" customWidth="1"/>
    <col min="8706" max="8706" width="28.5" style="536" customWidth="1"/>
    <col min="8707" max="8712" width="10.875" style="536" customWidth="1"/>
    <col min="8713" max="8713" width="13" style="536" customWidth="1"/>
    <col min="8714" max="8714" width="9" style="536"/>
    <col min="8715" max="8718" width="9.125" style="536" bestFit="1" customWidth="1"/>
    <col min="8719" max="8720" width="9.875" style="536" bestFit="1" customWidth="1"/>
    <col min="8721" max="8960" width="9" style="536"/>
    <col min="8961" max="8961" width="2.625" style="536" customWidth="1"/>
    <col min="8962" max="8962" width="28.5" style="536" customWidth="1"/>
    <col min="8963" max="8968" width="10.875" style="536" customWidth="1"/>
    <col min="8969" max="8969" width="13" style="536" customWidth="1"/>
    <col min="8970" max="8970" width="9" style="536"/>
    <col min="8971" max="8974" width="9.125" style="536" bestFit="1" customWidth="1"/>
    <col min="8975" max="8976" width="9.875" style="536" bestFit="1" customWidth="1"/>
    <col min="8977" max="9216" width="9" style="536"/>
    <col min="9217" max="9217" width="2.625" style="536" customWidth="1"/>
    <col min="9218" max="9218" width="28.5" style="536" customWidth="1"/>
    <col min="9219" max="9224" width="10.875" style="536" customWidth="1"/>
    <col min="9225" max="9225" width="13" style="536" customWidth="1"/>
    <col min="9226" max="9226" width="9" style="536"/>
    <col min="9227" max="9230" width="9.125" style="536" bestFit="1" customWidth="1"/>
    <col min="9231" max="9232" width="9.875" style="536" bestFit="1" customWidth="1"/>
    <col min="9233" max="9472" width="9" style="536"/>
    <col min="9473" max="9473" width="2.625" style="536" customWidth="1"/>
    <col min="9474" max="9474" width="28.5" style="536" customWidth="1"/>
    <col min="9475" max="9480" width="10.875" style="536" customWidth="1"/>
    <col min="9481" max="9481" width="13" style="536" customWidth="1"/>
    <col min="9482" max="9482" width="9" style="536"/>
    <col min="9483" max="9486" width="9.125" style="536" bestFit="1" customWidth="1"/>
    <col min="9487" max="9488" width="9.875" style="536" bestFit="1" customWidth="1"/>
    <col min="9489" max="9728" width="9" style="536"/>
    <col min="9729" max="9729" width="2.625" style="536" customWidth="1"/>
    <col min="9730" max="9730" width="28.5" style="536" customWidth="1"/>
    <col min="9731" max="9736" width="10.875" style="536" customWidth="1"/>
    <col min="9737" max="9737" width="13" style="536" customWidth="1"/>
    <col min="9738" max="9738" width="9" style="536"/>
    <col min="9739" max="9742" width="9.125" style="536" bestFit="1" customWidth="1"/>
    <col min="9743" max="9744" width="9.875" style="536" bestFit="1" customWidth="1"/>
    <col min="9745" max="9984" width="9" style="536"/>
    <col min="9985" max="9985" width="2.625" style="536" customWidth="1"/>
    <col min="9986" max="9986" width="28.5" style="536" customWidth="1"/>
    <col min="9987" max="9992" width="10.875" style="536" customWidth="1"/>
    <col min="9993" max="9993" width="13" style="536" customWidth="1"/>
    <col min="9994" max="9994" width="9" style="536"/>
    <col min="9995" max="9998" width="9.125" style="536" bestFit="1" customWidth="1"/>
    <col min="9999" max="10000" width="9.875" style="536" bestFit="1" customWidth="1"/>
    <col min="10001" max="10240" width="9" style="536"/>
    <col min="10241" max="10241" width="2.625" style="536" customWidth="1"/>
    <col min="10242" max="10242" width="28.5" style="536" customWidth="1"/>
    <col min="10243" max="10248" width="10.875" style="536" customWidth="1"/>
    <col min="10249" max="10249" width="13" style="536" customWidth="1"/>
    <col min="10250" max="10250" width="9" style="536"/>
    <col min="10251" max="10254" width="9.125" style="536" bestFit="1" customWidth="1"/>
    <col min="10255" max="10256" width="9.875" style="536" bestFit="1" customWidth="1"/>
    <col min="10257" max="10496" width="9" style="536"/>
    <col min="10497" max="10497" width="2.625" style="536" customWidth="1"/>
    <col min="10498" max="10498" width="28.5" style="536" customWidth="1"/>
    <col min="10499" max="10504" width="10.875" style="536" customWidth="1"/>
    <col min="10505" max="10505" width="13" style="536" customWidth="1"/>
    <col min="10506" max="10506" width="9" style="536"/>
    <col min="10507" max="10510" width="9.125" style="536" bestFit="1" customWidth="1"/>
    <col min="10511" max="10512" width="9.875" style="536" bestFit="1" customWidth="1"/>
    <col min="10513" max="10752" width="9" style="536"/>
    <col min="10753" max="10753" width="2.625" style="536" customWidth="1"/>
    <col min="10754" max="10754" width="28.5" style="536" customWidth="1"/>
    <col min="10755" max="10760" width="10.875" style="536" customWidth="1"/>
    <col min="10761" max="10761" width="13" style="536" customWidth="1"/>
    <col min="10762" max="10762" width="9" style="536"/>
    <col min="10763" max="10766" width="9.125" style="536" bestFit="1" customWidth="1"/>
    <col min="10767" max="10768" width="9.875" style="536" bestFit="1" customWidth="1"/>
    <col min="10769" max="11008" width="9" style="536"/>
    <col min="11009" max="11009" width="2.625" style="536" customWidth="1"/>
    <col min="11010" max="11010" width="28.5" style="536" customWidth="1"/>
    <col min="11011" max="11016" width="10.875" style="536" customWidth="1"/>
    <col min="11017" max="11017" width="13" style="536" customWidth="1"/>
    <col min="11018" max="11018" width="9" style="536"/>
    <col min="11019" max="11022" width="9.125" style="536" bestFit="1" customWidth="1"/>
    <col min="11023" max="11024" width="9.875" style="536" bestFit="1" customWidth="1"/>
    <col min="11025" max="11264" width="9" style="536"/>
    <col min="11265" max="11265" width="2.625" style="536" customWidth="1"/>
    <col min="11266" max="11266" width="28.5" style="536" customWidth="1"/>
    <col min="11267" max="11272" width="10.875" style="536" customWidth="1"/>
    <col min="11273" max="11273" width="13" style="536" customWidth="1"/>
    <col min="11274" max="11274" width="9" style="536"/>
    <col min="11275" max="11278" width="9.125" style="536" bestFit="1" customWidth="1"/>
    <col min="11279" max="11280" width="9.875" style="536" bestFit="1" customWidth="1"/>
    <col min="11281" max="11520" width="9" style="536"/>
    <col min="11521" max="11521" width="2.625" style="536" customWidth="1"/>
    <col min="11522" max="11522" width="28.5" style="536" customWidth="1"/>
    <col min="11523" max="11528" width="10.875" style="536" customWidth="1"/>
    <col min="11529" max="11529" width="13" style="536" customWidth="1"/>
    <col min="11530" max="11530" width="9" style="536"/>
    <col min="11531" max="11534" width="9.125" style="536" bestFit="1" customWidth="1"/>
    <col min="11535" max="11536" width="9.875" style="536" bestFit="1" customWidth="1"/>
    <col min="11537" max="11776" width="9" style="536"/>
    <col min="11777" max="11777" width="2.625" style="536" customWidth="1"/>
    <col min="11778" max="11778" width="28.5" style="536" customWidth="1"/>
    <col min="11779" max="11784" width="10.875" style="536" customWidth="1"/>
    <col min="11785" max="11785" width="13" style="536" customWidth="1"/>
    <col min="11786" max="11786" width="9" style="536"/>
    <col min="11787" max="11790" width="9.125" style="536" bestFit="1" customWidth="1"/>
    <col min="11791" max="11792" width="9.875" style="536" bestFit="1" customWidth="1"/>
    <col min="11793" max="12032" width="9" style="536"/>
    <col min="12033" max="12033" width="2.625" style="536" customWidth="1"/>
    <col min="12034" max="12034" width="28.5" style="536" customWidth="1"/>
    <col min="12035" max="12040" width="10.875" style="536" customWidth="1"/>
    <col min="12041" max="12041" width="13" style="536" customWidth="1"/>
    <col min="12042" max="12042" width="9" style="536"/>
    <col min="12043" max="12046" width="9.125" style="536" bestFit="1" customWidth="1"/>
    <col min="12047" max="12048" width="9.875" style="536" bestFit="1" customWidth="1"/>
    <col min="12049" max="12288" width="9" style="536"/>
    <col min="12289" max="12289" width="2.625" style="536" customWidth="1"/>
    <col min="12290" max="12290" width="28.5" style="536" customWidth="1"/>
    <col min="12291" max="12296" width="10.875" style="536" customWidth="1"/>
    <col min="12297" max="12297" width="13" style="536" customWidth="1"/>
    <col min="12298" max="12298" width="9" style="536"/>
    <col min="12299" max="12302" width="9.125" style="536" bestFit="1" customWidth="1"/>
    <col min="12303" max="12304" width="9.875" style="536" bestFit="1" customWidth="1"/>
    <col min="12305" max="12544" width="9" style="536"/>
    <col min="12545" max="12545" width="2.625" style="536" customWidth="1"/>
    <col min="12546" max="12546" width="28.5" style="536" customWidth="1"/>
    <col min="12547" max="12552" width="10.875" style="536" customWidth="1"/>
    <col min="12553" max="12553" width="13" style="536" customWidth="1"/>
    <col min="12554" max="12554" width="9" style="536"/>
    <col min="12555" max="12558" width="9.125" style="536" bestFit="1" customWidth="1"/>
    <col min="12559" max="12560" width="9.875" style="536" bestFit="1" customWidth="1"/>
    <col min="12561" max="12800" width="9" style="536"/>
    <col min="12801" max="12801" width="2.625" style="536" customWidth="1"/>
    <col min="12802" max="12802" width="28.5" style="536" customWidth="1"/>
    <col min="12803" max="12808" width="10.875" style="536" customWidth="1"/>
    <col min="12809" max="12809" width="13" style="536" customWidth="1"/>
    <col min="12810" max="12810" width="9" style="536"/>
    <col min="12811" max="12814" width="9.125" style="536" bestFit="1" customWidth="1"/>
    <col min="12815" max="12816" width="9.875" style="536" bestFit="1" customWidth="1"/>
    <col min="12817" max="13056" width="9" style="536"/>
    <col min="13057" max="13057" width="2.625" style="536" customWidth="1"/>
    <col min="13058" max="13058" width="28.5" style="536" customWidth="1"/>
    <col min="13059" max="13064" width="10.875" style="536" customWidth="1"/>
    <col min="13065" max="13065" width="13" style="536" customWidth="1"/>
    <col min="13066" max="13066" width="9" style="536"/>
    <col min="13067" max="13070" width="9.125" style="536" bestFit="1" customWidth="1"/>
    <col min="13071" max="13072" width="9.875" style="536" bestFit="1" customWidth="1"/>
    <col min="13073" max="13312" width="9" style="536"/>
    <col min="13313" max="13313" width="2.625" style="536" customWidth="1"/>
    <col min="13314" max="13314" width="28.5" style="536" customWidth="1"/>
    <col min="13315" max="13320" width="10.875" style="536" customWidth="1"/>
    <col min="13321" max="13321" width="13" style="536" customWidth="1"/>
    <col min="13322" max="13322" width="9" style="536"/>
    <col min="13323" max="13326" width="9.125" style="536" bestFit="1" customWidth="1"/>
    <col min="13327" max="13328" width="9.875" style="536" bestFit="1" customWidth="1"/>
    <col min="13329" max="13568" width="9" style="536"/>
    <col min="13569" max="13569" width="2.625" style="536" customWidth="1"/>
    <col min="13570" max="13570" width="28.5" style="536" customWidth="1"/>
    <col min="13571" max="13576" width="10.875" style="536" customWidth="1"/>
    <col min="13577" max="13577" width="13" style="536" customWidth="1"/>
    <col min="13578" max="13578" width="9" style="536"/>
    <col min="13579" max="13582" width="9.125" style="536" bestFit="1" customWidth="1"/>
    <col min="13583" max="13584" width="9.875" style="536" bestFit="1" customWidth="1"/>
    <col min="13585" max="13824" width="9" style="536"/>
    <col min="13825" max="13825" width="2.625" style="536" customWidth="1"/>
    <col min="13826" max="13826" width="28.5" style="536" customWidth="1"/>
    <col min="13827" max="13832" width="10.875" style="536" customWidth="1"/>
    <col min="13833" max="13833" width="13" style="536" customWidth="1"/>
    <col min="13834" max="13834" width="9" style="536"/>
    <col min="13835" max="13838" width="9.125" style="536" bestFit="1" customWidth="1"/>
    <col min="13839" max="13840" width="9.875" style="536" bestFit="1" customWidth="1"/>
    <col min="13841" max="14080" width="9" style="536"/>
    <col min="14081" max="14081" width="2.625" style="536" customWidth="1"/>
    <col min="14082" max="14082" width="28.5" style="536" customWidth="1"/>
    <col min="14083" max="14088" width="10.875" style="536" customWidth="1"/>
    <col min="14089" max="14089" width="13" style="536" customWidth="1"/>
    <col min="14090" max="14090" width="9" style="536"/>
    <col min="14091" max="14094" width="9.125" style="536" bestFit="1" customWidth="1"/>
    <col min="14095" max="14096" width="9.875" style="536" bestFit="1" customWidth="1"/>
    <col min="14097" max="14336" width="9" style="536"/>
    <col min="14337" max="14337" width="2.625" style="536" customWidth="1"/>
    <col min="14338" max="14338" width="28.5" style="536" customWidth="1"/>
    <col min="14339" max="14344" width="10.875" style="536" customWidth="1"/>
    <col min="14345" max="14345" width="13" style="536" customWidth="1"/>
    <col min="14346" max="14346" width="9" style="536"/>
    <col min="14347" max="14350" width="9.125" style="536" bestFit="1" customWidth="1"/>
    <col min="14351" max="14352" width="9.875" style="536" bestFit="1" customWidth="1"/>
    <col min="14353" max="14592" width="9" style="536"/>
    <col min="14593" max="14593" width="2.625" style="536" customWidth="1"/>
    <col min="14594" max="14594" width="28.5" style="536" customWidth="1"/>
    <col min="14595" max="14600" width="10.875" style="536" customWidth="1"/>
    <col min="14601" max="14601" width="13" style="536" customWidth="1"/>
    <col min="14602" max="14602" width="9" style="536"/>
    <col min="14603" max="14606" width="9.125" style="536" bestFit="1" customWidth="1"/>
    <col min="14607" max="14608" width="9.875" style="536" bestFit="1" customWidth="1"/>
    <col min="14609" max="14848" width="9" style="536"/>
    <col min="14849" max="14849" width="2.625" style="536" customWidth="1"/>
    <col min="14850" max="14850" width="28.5" style="536" customWidth="1"/>
    <col min="14851" max="14856" width="10.875" style="536" customWidth="1"/>
    <col min="14857" max="14857" width="13" style="536" customWidth="1"/>
    <col min="14858" max="14858" width="9" style="536"/>
    <col min="14859" max="14862" width="9.125" style="536" bestFit="1" customWidth="1"/>
    <col min="14863" max="14864" width="9.875" style="536" bestFit="1" customWidth="1"/>
    <col min="14865" max="15104" width="9" style="536"/>
    <col min="15105" max="15105" width="2.625" style="536" customWidth="1"/>
    <col min="15106" max="15106" width="28.5" style="536" customWidth="1"/>
    <col min="15107" max="15112" width="10.875" style="536" customWidth="1"/>
    <col min="15113" max="15113" width="13" style="536" customWidth="1"/>
    <col min="15114" max="15114" width="9" style="536"/>
    <col min="15115" max="15118" width="9.125" style="536" bestFit="1" customWidth="1"/>
    <col min="15119" max="15120" width="9.875" style="536" bestFit="1" customWidth="1"/>
    <col min="15121" max="15360" width="9" style="536"/>
    <col min="15361" max="15361" width="2.625" style="536" customWidth="1"/>
    <col min="15362" max="15362" width="28.5" style="536" customWidth="1"/>
    <col min="15363" max="15368" width="10.875" style="536" customWidth="1"/>
    <col min="15369" max="15369" width="13" style="536" customWidth="1"/>
    <col min="15370" max="15370" width="9" style="536"/>
    <col min="15371" max="15374" width="9.125" style="536" bestFit="1" customWidth="1"/>
    <col min="15375" max="15376" width="9.875" style="536" bestFit="1" customWidth="1"/>
    <col min="15377" max="15616" width="9" style="536"/>
    <col min="15617" max="15617" width="2.625" style="536" customWidth="1"/>
    <col min="15618" max="15618" width="28.5" style="536" customWidth="1"/>
    <col min="15619" max="15624" width="10.875" style="536" customWidth="1"/>
    <col min="15625" max="15625" width="13" style="536" customWidth="1"/>
    <col min="15626" max="15626" width="9" style="536"/>
    <col min="15627" max="15630" width="9.125" style="536" bestFit="1" customWidth="1"/>
    <col min="15631" max="15632" width="9.875" style="536" bestFit="1" customWidth="1"/>
    <col min="15633" max="15872" width="9" style="536"/>
    <col min="15873" max="15873" width="2.625" style="536" customWidth="1"/>
    <col min="15874" max="15874" width="28.5" style="536" customWidth="1"/>
    <col min="15875" max="15880" width="10.875" style="536" customWidth="1"/>
    <col min="15881" max="15881" width="13" style="536" customWidth="1"/>
    <col min="15882" max="15882" width="9" style="536"/>
    <col min="15883" max="15886" width="9.125" style="536" bestFit="1" customWidth="1"/>
    <col min="15887" max="15888" width="9.875" style="536" bestFit="1" customWidth="1"/>
    <col min="15889" max="16128" width="9" style="536"/>
    <col min="16129" max="16129" width="2.625" style="536" customWidth="1"/>
    <col min="16130" max="16130" width="28.5" style="536" customWidth="1"/>
    <col min="16131" max="16136" width="10.875" style="536" customWidth="1"/>
    <col min="16137" max="16137" width="13" style="536" customWidth="1"/>
    <col min="16138" max="16138" width="9" style="536"/>
    <col min="16139" max="16142" width="9.125" style="536" bestFit="1" customWidth="1"/>
    <col min="16143" max="16144" width="9.875" style="536" bestFit="1" customWidth="1"/>
    <col min="16145" max="16384" width="9" style="536"/>
  </cols>
  <sheetData>
    <row r="1" spans="2:16" s="562" customFormat="1" ht="21.75" customHeight="1"/>
    <row r="2" spans="2:16" ht="16.5">
      <c r="B2" s="536" t="s">
        <v>884</v>
      </c>
      <c r="F2" s="536" t="s">
        <v>869</v>
      </c>
    </row>
    <row r="3" spans="2:16" ht="17.25" thickBot="1">
      <c r="B3" s="593" t="s">
        <v>870</v>
      </c>
      <c r="C3" s="1199" t="s">
        <v>818</v>
      </c>
      <c r="D3" s="1200"/>
      <c r="E3" s="1199" t="s">
        <v>819</v>
      </c>
      <c r="F3" s="1200"/>
    </row>
    <row r="4" spans="2:16" ht="16.5" thickTop="1">
      <c r="B4" s="594" t="s">
        <v>873</v>
      </c>
      <c r="C4" s="1201">
        <v>0.02</v>
      </c>
      <c r="D4" s="1201"/>
      <c r="E4" s="1201">
        <v>0</v>
      </c>
      <c r="F4" s="1201">
        <v>0</v>
      </c>
    </row>
    <row r="5" spans="2:16">
      <c r="B5" s="598" t="s">
        <v>874</v>
      </c>
      <c r="C5" s="1202">
        <v>0.04</v>
      </c>
      <c r="D5" s="1202"/>
      <c r="E5" s="1202">
        <v>0.02</v>
      </c>
      <c r="F5" s="1202">
        <v>0.02</v>
      </c>
    </row>
    <row r="6" spans="2:16">
      <c r="B6" s="598" t="s">
        <v>875</v>
      </c>
      <c r="C6" s="1202">
        <v>0.13</v>
      </c>
      <c r="D6" s="1202"/>
      <c r="E6" s="1202">
        <v>0.05</v>
      </c>
      <c r="F6" s="1202">
        <v>7.0000000000000007E-2</v>
      </c>
    </row>
    <row r="7" spans="2:16">
      <c r="B7" s="598" t="s">
        <v>876</v>
      </c>
      <c r="C7" s="1202">
        <v>0.37</v>
      </c>
      <c r="D7" s="1202"/>
      <c r="E7" s="1202">
        <v>0.14000000000000001</v>
      </c>
      <c r="F7" s="1202">
        <v>0.15</v>
      </c>
    </row>
    <row r="8" spans="2:16">
      <c r="B8" s="598" t="s">
        <v>877</v>
      </c>
      <c r="C8" s="1202">
        <v>0.72</v>
      </c>
      <c r="D8" s="1202"/>
      <c r="E8" s="1202">
        <v>0.26</v>
      </c>
      <c r="F8" s="1202">
        <v>0.26</v>
      </c>
    </row>
    <row r="9" spans="2:16">
      <c r="B9" s="598" t="s">
        <v>878</v>
      </c>
      <c r="C9" s="1202">
        <v>0.82</v>
      </c>
      <c r="D9" s="1202"/>
      <c r="E9" s="1202">
        <v>0.22</v>
      </c>
      <c r="F9" s="1202">
        <v>0.26</v>
      </c>
    </row>
    <row r="10" spans="2:16">
      <c r="B10" s="598" t="s">
        <v>879</v>
      </c>
      <c r="C10" s="1202">
        <v>0.34</v>
      </c>
      <c r="D10" s="1202"/>
      <c r="E10" s="1202">
        <v>0.15</v>
      </c>
      <c r="F10" s="1202">
        <v>0.11</v>
      </c>
    </row>
    <row r="11" spans="2:16">
      <c r="B11" s="598" t="s">
        <v>880</v>
      </c>
      <c r="C11" s="1202">
        <v>0.26</v>
      </c>
      <c r="D11" s="1202"/>
      <c r="E11" s="1202">
        <v>0.19</v>
      </c>
      <c r="F11" s="1202">
        <v>0.25</v>
      </c>
    </row>
    <row r="12" spans="2:16">
      <c r="B12" s="598" t="s">
        <v>881</v>
      </c>
      <c r="C12" s="1202">
        <v>0.09</v>
      </c>
      <c r="D12" s="1202"/>
      <c r="E12" s="1202">
        <v>0.04</v>
      </c>
      <c r="F12" s="1202">
        <v>0.01</v>
      </c>
    </row>
    <row r="14" spans="2:16" ht="16.5">
      <c r="B14" s="536" t="s">
        <v>885</v>
      </c>
    </row>
    <row r="15" spans="2:16" ht="16.5">
      <c r="B15" s="1197" t="s">
        <v>870</v>
      </c>
      <c r="C15" s="1167" t="s">
        <v>886</v>
      </c>
      <c r="D15" s="1203"/>
      <c r="E15" s="1168"/>
      <c r="F15" s="1203" t="s">
        <v>819</v>
      </c>
      <c r="G15" s="1203"/>
      <c r="H15" s="1168"/>
      <c r="I15" s="1197" t="s">
        <v>821</v>
      </c>
      <c r="K15" s="1204" t="s">
        <v>887</v>
      </c>
      <c r="L15" s="1206" t="s">
        <v>888</v>
      </c>
      <c r="M15" s="1206"/>
      <c r="N15" s="1206" t="s">
        <v>887</v>
      </c>
      <c r="O15" s="1206" t="s">
        <v>888</v>
      </c>
      <c r="P15" s="1206"/>
    </row>
    <row r="16" spans="2:16" ht="17.25" thickBot="1">
      <c r="B16" s="1198"/>
      <c r="C16" s="593" t="s">
        <v>889</v>
      </c>
      <c r="D16" s="593" t="s">
        <v>890</v>
      </c>
      <c r="E16" s="593" t="s">
        <v>891</v>
      </c>
      <c r="F16" s="593" t="s">
        <v>892</v>
      </c>
      <c r="G16" s="593" t="s">
        <v>893</v>
      </c>
      <c r="H16" s="593" t="s">
        <v>894</v>
      </c>
      <c r="I16" s="1198"/>
      <c r="K16" s="1205"/>
      <c r="L16" s="602" t="s">
        <v>895</v>
      </c>
      <c r="M16" s="602" t="s">
        <v>896</v>
      </c>
      <c r="N16" s="1207"/>
      <c r="O16" s="602" t="s">
        <v>895</v>
      </c>
      <c r="P16" s="602" t="s">
        <v>896</v>
      </c>
    </row>
    <row r="17" spans="2:16" ht="16.5" thickTop="1">
      <c r="B17" s="603" t="s">
        <v>873</v>
      </c>
      <c r="C17" s="603" t="s">
        <v>498</v>
      </c>
      <c r="D17" s="603" t="s">
        <v>498</v>
      </c>
      <c r="E17" s="603" t="s">
        <v>498</v>
      </c>
      <c r="F17" s="603" t="s">
        <v>498</v>
      </c>
      <c r="G17" s="603" t="s">
        <v>498</v>
      </c>
      <c r="H17" s="603" t="s">
        <v>498</v>
      </c>
      <c r="I17" s="603" t="s">
        <v>498</v>
      </c>
      <c r="K17" s="604">
        <v>21</v>
      </c>
      <c r="L17" s="605" t="s">
        <v>498</v>
      </c>
      <c r="M17" s="606">
        <v>4.29</v>
      </c>
      <c r="N17" s="607">
        <v>41</v>
      </c>
      <c r="O17" s="608">
        <v>57.28</v>
      </c>
      <c r="P17" s="608">
        <v>151.93</v>
      </c>
    </row>
    <row r="18" spans="2:16">
      <c r="B18" s="609" t="s">
        <v>874</v>
      </c>
      <c r="C18" s="609" t="s">
        <v>498</v>
      </c>
      <c r="D18" s="609" t="s">
        <v>498</v>
      </c>
      <c r="E18" s="609" t="s">
        <v>498</v>
      </c>
      <c r="F18" s="609" t="s">
        <v>498</v>
      </c>
      <c r="G18" s="609" t="s">
        <v>498</v>
      </c>
      <c r="H18" s="609" t="s">
        <v>498</v>
      </c>
      <c r="I18" s="609" t="s">
        <v>498</v>
      </c>
      <c r="K18" s="610">
        <v>22</v>
      </c>
      <c r="L18" s="611" t="s">
        <v>498</v>
      </c>
      <c r="M18" s="612">
        <v>4.29</v>
      </c>
      <c r="N18" s="613">
        <v>42</v>
      </c>
      <c r="O18" s="614">
        <v>57.28</v>
      </c>
      <c r="P18" s="614">
        <v>107.68</v>
      </c>
    </row>
    <row r="19" spans="2:16">
      <c r="B19" s="609" t="s">
        <v>875</v>
      </c>
      <c r="C19" s="609" t="s">
        <v>498</v>
      </c>
      <c r="D19" s="609" t="s">
        <v>498</v>
      </c>
      <c r="E19" s="609" t="s">
        <v>498</v>
      </c>
      <c r="F19" s="609" t="s">
        <v>498</v>
      </c>
      <c r="G19" s="609" t="s">
        <v>498</v>
      </c>
      <c r="H19" s="609" t="s">
        <v>498</v>
      </c>
      <c r="I19" s="609" t="s">
        <v>498</v>
      </c>
      <c r="K19" s="610">
        <v>23</v>
      </c>
      <c r="L19" s="612">
        <v>4.17</v>
      </c>
      <c r="M19" s="612">
        <v>56.33</v>
      </c>
      <c r="N19" s="613">
        <v>43</v>
      </c>
      <c r="O19" s="614">
        <v>159.87</v>
      </c>
      <c r="P19" s="614">
        <v>107.68</v>
      </c>
    </row>
    <row r="20" spans="2:16">
      <c r="B20" s="609" t="s">
        <v>876</v>
      </c>
      <c r="C20" s="609" t="s">
        <v>498</v>
      </c>
      <c r="D20" s="609" t="s">
        <v>498</v>
      </c>
      <c r="E20" s="609" t="s">
        <v>498</v>
      </c>
      <c r="F20" s="609" t="s">
        <v>498</v>
      </c>
      <c r="G20" s="609" t="s">
        <v>498</v>
      </c>
      <c r="H20" s="609" t="s">
        <v>498</v>
      </c>
      <c r="I20" s="609" t="s">
        <v>498</v>
      </c>
      <c r="K20" s="610">
        <v>24</v>
      </c>
      <c r="L20" s="612">
        <v>4.17</v>
      </c>
      <c r="M20" s="612">
        <v>56.33</v>
      </c>
      <c r="N20" s="613">
        <v>44</v>
      </c>
      <c r="O20" s="614">
        <v>159.87</v>
      </c>
      <c r="P20" s="614">
        <v>107.68</v>
      </c>
    </row>
    <row r="21" spans="2:16">
      <c r="B21" s="609" t="s">
        <v>877</v>
      </c>
      <c r="C21" s="609" t="s">
        <v>498</v>
      </c>
      <c r="D21" s="609" t="s">
        <v>498</v>
      </c>
      <c r="E21" s="609" t="s">
        <v>498</v>
      </c>
      <c r="F21" s="609" t="s">
        <v>498</v>
      </c>
      <c r="G21" s="609" t="s">
        <v>498</v>
      </c>
      <c r="H21" s="609" t="s">
        <v>498</v>
      </c>
      <c r="I21" s="609" t="s">
        <v>498</v>
      </c>
      <c r="K21" s="610">
        <v>25</v>
      </c>
      <c r="L21" s="612">
        <v>4.17</v>
      </c>
      <c r="M21" s="612">
        <v>56.33</v>
      </c>
      <c r="N21" s="613">
        <v>45</v>
      </c>
      <c r="O21" s="614">
        <v>159.87</v>
      </c>
      <c r="P21" s="614">
        <v>107.68</v>
      </c>
    </row>
    <row r="22" spans="2:16">
      <c r="B22" s="609" t="s">
        <v>878</v>
      </c>
      <c r="C22" s="615">
        <v>6.43</v>
      </c>
      <c r="D22" s="616">
        <v>6.43</v>
      </c>
      <c r="E22" s="616">
        <v>6.43</v>
      </c>
      <c r="F22" s="615">
        <v>1.44</v>
      </c>
      <c r="G22" s="615">
        <v>1.44</v>
      </c>
      <c r="H22" s="615">
        <v>1.44</v>
      </c>
      <c r="I22" s="616">
        <v>80.489999999999995</v>
      </c>
      <c r="K22" s="610">
        <v>26</v>
      </c>
      <c r="L22" s="612">
        <v>4.17</v>
      </c>
      <c r="M22" s="612">
        <v>56.33</v>
      </c>
      <c r="N22" s="613">
        <v>46</v>
      </c>
      <c r="O22" s="614">
        <v>159.87</v>
      </c>
      <c r="P22" s="614">
        <v>107.68</v>
      </c>
    </row>
    <row r="23" spans="2:16">
      <c r="B23" s="617">
        <v>50</v>
      </c>
      <c r="C23" s="615">
        <v>102.18</v>
      </c>
      <c r="D23" s="616">
        <v>23.36</v>
      </c>
      <c r="E23" s="616">
        <v>23.36</v>
      </c>
      <c r="F23" s="615">
        <v>241.87</v>
      </c>
      <c r="G23" s="615">
        <v>24.04</v>
      </c>
      <c r="H23" s="615">
        <v>24.04</v>
      </c>
      <c r="I23" s="616">
        <v>91.16</v>
      </c>
      <c r="K23" s="610">
        <v>27</v>
      </c>
      <c r="L23" s="612">
        <v>64.47</v>
      </c>
      <c r="M23" s="612">
        <v>56.33</v>
      </c>
      <c r="N23" s="613">
        <v>47</v>
      </c>
      <c r="O23" s="614">
        <v>159.87</v>
      </c>
      <c r="P23" s="614">
        <v>107.68</v>
      </c>
    </row>
    <row r="24" spans="2:16">
      <c r="B24" s="617">
        <v>51</v>
      </c>
      <c r="C24" s="615">
        <v>67.73</v>
      </c>
      <c r="D24" s="616">
        <v>23.36</v>
      </c>
      <c r="E24" s="616">
        <v>23.36</v>
      </c>
      <c r="F24" s="615">
        <v>72.13</v>
      </c>
      <c r="G24" s="615">
        <v>24.04</v>
      </c>
      <c r="H24" s="615">
        <v>24.04</v>
      </c>
      <c r="I24" s="616">
        <v>91.16</v>
      </c>
      <c r="K24" s="610">
        <v>28</v>
      </c>
      <c r="L24" s="612">
        <v>64.47</v>
      </c>
      <c r="M24" s="612">
        <v>56.33</v>
      </c>
      <c r="N24" s="613">
        <v>48</v>
      </c>
      <c r="O24" s="614">
        <v>159.87</v>
      </c>
      <c r="P24" s="614">
        <v>107.68</v>
      </c>
    </row>
    <row r="25" spans="2:16">
      <c r="B25" s="617">
        <v>52</v>
      </c>
      <c r="C25" s="615">
        <v>67.73</v>
      </c>
      <c r="D25" s="616">
        <v>23.36</v>
      </c>
      <c r="E25" s="616">
        <v>23.36</v>
      </c>
      <c r="F25" s="615">
        <v>72.13</v>
      </c>
      <c r="G25" s="615">
        <v>24.04</v>
      </c>
      <c r="H25" s="615">
        <v>24.04</v>
      </c>
      <c r="I25" s="616">
        <v>91.16</v>
      </c>
      <c r="K25" s="610">
        <v>29</v>
      </c>
      <c r="L25" s="612">
        <v>64.47</v>
      </c>
      <c r="M25" s="612">
        <v>56.33</v>
      </c>
      <c r="N25" s="613">
        <v>49</v>
      </c>
      <c r="O25" s="614">
        <v>159.87</v>
      </c>
      <c r="P25" s="614">
        <v>152.09</v>
      </c>
    </row>
    <row r="26" spans="2:16">
      <c r="B26" s="617">
        <v>53</v>
      </c>
      <c r="C26" s="615">
        <v>67.73</v>
      </c>
      <c r="D26" s="616">
        <v>23.36</v>
      </c>
      <c r="E26" s="616">
        <v>23.36</v>
      </c>
      <c r="F26" s="615">
        <v>72.13</v>
      </c>
      <c r="G26" s="615">
        <v>24.04</v>
      </c>
      <c r="H26" s="615">
        <v>24.04</v>
      </c>
      <c r="I26" s="616">
        <v>91.16</v>
      </c>
      <c r="K26" s="610">
        <v>30</v>
      </c>
      <c r="L26" s="612">
        <v>64.47</v>
      </c>
      <c r="M26" s="612">
        <v>56.33</v>
      </c>
      <c r="N26" s="613">
        <v>50</v>
      </c>
      <c r="O26" s="614">
        <v>233.06</v>
      </c>
      <c r="P26" s="614">
        <v>152.09</v>
      </c>
    </row>
    <row r="27" spans="2:16">
      <c r="B27" s="617">
        <v>54</v>
      </c>
      <c r="C27" s="615">
        <v>67.73</v>
      </c>
      <c r="D27" s="616">
        <v>23.36</v>
      </c>
      <c r="E27" s="616">
        <v>23.36</v>
      </c>
      <c r="F27" s="615">
        <v>72.13</v>
      </c>
      <c r="G27" s="615">
        <v>24.04</v>
      </c>
      <c r="H27" s="615">
        <v>24.04</v>
      </c>
      <c r="I27" s="616">
        <v>91.16</v>
      </c>
      <c r="K27" s="610">
        <v>31</v>
      </c>
      <c r="L27" s="612">
        <v>37.909999999999997</v>
      </c>
      <c r="M27" s="612">
        <v>23.13</v>
      </c>
      <c r="N27" s="613">
        <v>51</v>
      </c>
      <c r="O27" s="614">
        <v>233.06</v>
      </c>
      <c r="P27" s="614">
        <v>152.09</v>
      </c>
    </row>
    <row r="28" spans="2:16">
      <c r="B28" s="617">
        <v>55</v>
      </c>
      <c r="C28" s="615">
        <v>98.61</v>
      </c>
      <c r="D28" s="616">
        <v>177.44</v>
      </c>
      <c r="E28" s="616">
        <v>60.4</v>
      </c>
      <c r="F28" s="615">
        <v>342.59</v>
      </c>
      <c r="G28" s="615">
        <v>424.62</v>
      </c>
      <c r="H28" s="615">
        <v>24.04</v>
      </c>
      <c r="I28" s="616">
        <v>89.67</v>
      </c>
      <c r="K28" s="610">
        <v>32</v>
      </c>
      <c r="L28" s="612">
        <v>37.909999999999997</v>
      </c>
      <c r="M28" s="612">
        <v>23.13</v>
      </c>
      <c r="N28" s="613">
        <v>52</v>
      </c>
      <c r="O28" s="614">
        <v>233.06</v>
      </c>
      <c r="P28" s="614">
        <v>152.09</v>
      </c>
    </row>
    <row r="29" spans="2:16">
      <c r="B29" s="617">
        <v>56</v>
      </c>
      <c r="C29" s="615">
        <v>98.61</v>
      </c>
      <c r="D29" s="616">
        <v>120.8</v>
      </c>
      <c r="E29" s="616">
        <v>60.4</v>
      </c>
      <c r="F29" s="615">
        <v>66.989999999999995</v>
      </c>
      <c r="G29" s="615">
        <v>149.02000000000001</v>
      </c>
      <c r="H29" s="615">
        <v>24.04</v>
      </c>
      <c r="I29" s="616">
        <v>89.67</v>
      </c>
      <c r="K29" s="610">
        <v>33</v>
      </c>
      <c r="L29" s="612">
        <v>37.909999999999997</v>
      </c>
      <c r="M29" s="612">
        <v>23.13</v>
      </c>
      <c r="N29" s="613">
        <v>53</v>
      </c>
      <c r="O29" s="614">
        <v>233.06</v>
      </c>
      <c r="P29" s="614">
        <v>152.09</v>
      </c>
    </row>
    <row r="30" spans="2:16">
      <c r="B30" s="617">
        <v>57</v>
      </c>
      <c r="C30" s="615">
        <v>98.61</v>
      </c>
      <c r="D30" s="616">
        <v>120.8</v>
      </c>
      <c r="E30" s="616">
        <v>60.4</v>
      </c>
      <c r="F30" s="615">
        <v>66.989999999999995</v>
      </c>
      <c r="G30" s="615">
        <v>149.02000000000001</v>
      </c>
      <c r="H30" s="615">
        <v>24.04</v>
      </c>
      <c r="I30" s="616">
        <v>89.67</v>
      </c>
      <c r="K30" s="610">
        <v>34</v>
      </c>
      <c r="L30" s="612">
        <v>37.909999999999997</v>
      </c>
      <c r="M30" s="612">
        <v>23.13</v>
      </c>
      <c r="N30" s="613">
        <v>54</v>
      </c>
      <c r="O30" s="614">
        <v>230.22</v>
      </c>
      <c r="P30" s="614">
        <v>266.61</v>
      </c>
    </row>
    <row r="31" spans="2:16">
      <c r="B31" s="617">
        <v>58</v>
      </c>
      <c r="C31" s="615">
        <v>98.61</v>
      </c>
      <c r="D31" s="616">
        <v>120.8</v>
      </c>
      <c r="E31" s="616">
        <v>60.4</v>
      </c>
      <c r="F31" s="615">
        <v>66.989999999999995</v>
      </c>
      <c r="G31" s="615">
        <v>149.02000000000001</v>
      </c>
      <c r="H31" s="615">
        <v>241.96</v>
      </c>
      <c r="I31" s="616">
        <v>89.67</v>
      </c>
      <c r="K31" s="610">
        <v>35</v>
      </c>
      <c r="L31" s="612">
        <v>21.46</v>
      </c>
      <c r="M31" s="612">
        <v>23.13</v>
      </c>
      <c r="N31" s="613">
        <v>55</v>
      </c>
      <c r="O31" s="614">
        <v>230.22</v>
      </c>
      <c r="P31" s="614">
        <v>266.61</v>
      </c>
    </row>
    <row r="32" spans="2:16">
      <c r="B32" s="617">
        <v>59</v>
      </c>
      <c r="C32" s="615">
        <v>98.61</v>
      </c>
      <c r="D32" s="616">
        <v>120.8</v>
      </c>
      <c r="E32" s="616">
        <v>60.4</v>
      </c>
      <c r="F32" s="615">
        <v>66.989999999999995</v>
      </c>
      <c r="G32" s="615">
        <v>149.02000000000001</v>
      </c>
      <c r="H32" s="615">
        <v>241.95</v>
      </c>
      <c r="I32" s="616">
        <v>89.67</v>
      </c>
      <c r="K32" s="610">
        <v>36</v>
      </c>
      <c r="L32" s="612">
        <v>21.46</v>
      </c>
      <c r="M32" s="612">
        <v>23.13</v>
      </c>
      <c r="N32" s="613">
        <v>56</v>
      </c>
      <c r="O32" s="614">
        <v>230.22</v>
      </c>
      <c r="P32" s="614">
        <v>266.61</v>
      </c>
    </row>
    <row r="33" spans="2:16">
      <c r="B33" s="617">
        <v>60</v>
      </c>
      <c r="C33" s="615">
        <v>147.07</v>
      </c>
      <c r="D33" s="616">
        <v>235.82</v>
      </c>
      <c r="E33" s="616">
        <v>352.86</v>
      </c>
      <c r="F33" s="615">
        <v>121.23</v>
      </c>
      <c r="G33" s="615">
        <v>121.23</v>
      </c>
      <c r="H33" s="615">
        <v>214.16</v>
      </c>
      <c r="I33" s="616">
        <v>95.62</v>
      </c>
      <c r="K33" s="610">
        <v>37</v>
      </c>
      <c r="L33" s="612">
        <v>21.46</v>
      </c>
      <c r="M33" s="612">
        <v>102.14</v>
      </c>
      <c r="N33" s="613">
        <v>57</v>
      </c>
      <c r="O33" s="614">
        <v>230.22</v>
      </c>
      <c r="P33" s="614">
        <v>266.61</v>
      </c>
    </row>
    <row r="34" spans="2:16">
      <c r="B34" s="617">
        <v>61</v>
      </c>
      <c r="C34" s="615">
        <v>147.07</v>
      </c>
      <c r="D34" s="616">
        <v>147.07</v>
      </c>
      <c r="E34" s="616">
        <v>207.47</v>
      </c>
      <c r="F34" s="615">
        <v>121.23</v>
      </c>
      <c r="G34" s="615">
        <v>121.23</v>
      </c>
      <c r="H34" s="615">
        <v>214.16</v>
      </c>
      <c r="I34" s="616">
        <v>95.62</v>
      </c>
      <c r="K34" s="610">
        <v>38</v>
      </c>
      <c r="L34" s="612">
        <v>21.46</v>
      </c>
      <c r="M34" s="612">
        <v>102.14</v>
      </c>
      <c r="N34" s="613">
        <v>58</v>
      </c>
      <c r="O34" s="614">
        <v>53.92</v>
      </c>
      <c r="P34" s="614">
        <v>1000</v>
      </c>
    </row>
    <row r="35" spans="2:16">
      <c r="B35" s="617">
        <v>62</v>
      </c>
      <c r="C35" s="615">
        <v>147.07</v>
      </c>
      <c r="D35" s="616">
        <v>147.07</v>
      </c>
      <c r="E35" s="616">
        <v>207.47</v>
      </c>
      <c r="F35" s="615">
        <v>121.23</v>
      </c>
      <c r="G35" s="615">
        <v>121.23</v>
      </c>
      <c r="H35" s="615">
        <v>214.16</v>
      </c>
      <c r="I35" s="616">
        <v>95.62</v>
      </c>
      <c r="K35" s="610">
        <v>39</v>
      </c>
      <c r="L35" s="612">
        <v>57.28</v>
      </c>
      <c r="M35" s="612">
        <v>151.93</v>
      </c>
      <c r="N35" s="613">
        <v>59</v>
      </c>
      <c r="O35" s="614">
        <v>242.42</v>
      </c>
      <c r="P35" s="614">
        <v>1000</v>
      </c>
    </row>
    <row r="36" spans="2:16">
      <c r="B36" s="617">
        <v>63</v>
      </c>
      <c r="C36" s="615">
        <v>147.07</v>
      </c>
      <c r="D36" s="616">
        <v>147.07</v>
      </c>
      <c r="E36" s="616">
        <v>207.47</v>
      </c>
      <c r="F36" s="615">
        <v>121.23</v>
      </c>
      <c r="G36" s="615">
        <v>121.23</v>
      </c>
      <c r="H36" s="615">
        <v>214.16</v>
      </c>
      <c r="I36" s="616">
        <v>95.62</v>
      </c>
      <c r="K36" s="610">
        <v>40</v>
      </c>
      <c r="L36" s="612">
        <v>57.28</v>
      </c>
      <c r="M36" s="612">
        <v>151.93</v>
      </c>
      <c r="N36" s="613">
        <v>60</v>
      </c>
      <c r="O36" s="614">
        <v>1000</v>
      </c>
      <c r="P36" s="614">
        <v>1000</v>
      </c>
    </row>
    <row r="37" spans="2:16">
      <c r="B37" s="617">
        <v>64</v>
      </c>
      <c r="C37" s="615">
        <v>147.07</v>
      </c>
      <c r="D37" s="616">
        <v>147.07</v>
      </c>
      <c r="E37" s="616">
        <v>207.47</v>
      </c>
      <c r="F37" s="615">
        <v>121.23</v>
      </c>
      <c r="G37" s="615">
        <v>121.23</v>
      </c>
      <c r="H37" s="615">
        <v>214.16</v>
      </c>
      <c r="I37" s="616">
        <v>95.62</v>
      </c>
    </row>
    <row r="38" spans="2:16">
      <c r="B38" s="617" t="s">
        <v>882</v>
      </c>
      <c r="C38" s="615">
        <v>1000</v>
      </c>
      <c r="D38" s="616">
        <v>1000</v>
      </c>
      <c r="E38" s="616">
        <v>1000</v>
      </c>
      <c r="F38" s="616">
        <v>1000</v>
      </c>
      <c r="G38" s="615">
        <v>1000</v>
      </c>
      <c r="H38" s="615">
        <v>1000</v>
      </c>
      <c r="I38" s="616">
        <v>205.62</v>
      </c>
    </row>
    <row r="39" spans="2:16">
      <c r="B39" s="617" t="s">
        <v>883</v>
      </c>
      <c r="C39" s="615">
        <v>1000</v>
      </c>
      <c r="D39" s="616">
        <v>1000</v>
      </c>
      <c r="E39" s="616">
        <v>1000</v>
      </c>
      <c r="F39" s="616">
        <v>1000</v>
      </c>
      <c r="G39" s="615">
        <v>1000</v>
      </c>
      <c r="H39" s="615">
        <v>1000</v>
      </c>
      <c r="I39" s="616">
        <v>87.62</v>
      </c>
    </row>
    <row r="40" spans="2:16">
      <c r="B40" s="617">
        <v>75</v>
      </c>
      <c r="C40" s="615">
        <v>1000</v>
      </c>
      <c r="D40" s="616">
        <v>1000</v>
      </c>
      <c r="E40" s="616">
        <v>1000</v>
      </c>
      <c r="F40" s="616">
        <v>1000</v>
      </c>
      <c r="G40" s="615">
        <v>1000</v>
      </c>
      <c r="H40" s="615">
        <v>1000</v>
      </c>
      <c r="I40" s="616">
        <v>1000</v>
      </c>
    </row>
    <row r="41" spans="2:16">
      <c r="B41" s="618"/>
      <c r="C41" s="619"/>
      <c r="D41" s="619"/>
      <c r="E41" s="619"/>
      <c r="F41" s="619"/>
      <c r="G41" s="619"/>
      <c r="H41" s="619"/>
    </row>
    <row r="42" spans="2:16" ht="16.5">
      <c r="B42" s="536" t="s">
        <v>897</v>
      </c>
    </row>
    <row r="43" spans="2:16" ht="17.25" thickBot="1">
      <c r="B43" s="593" t="s">
        <v>898</v>
      </c>
      <c r="C43" s="1208" t="s">
        <v>899</v>
      </c>
      <c r="D43" s="1208"/>
      <c r="E43" s="1208" t="s">
        <v>900</v>
      </c>
      <c r="F43" s="1208"/>
    </row>
    <row r="44" spans="2:16" ht="16.5" thickTop="1">
      <c r="B44" s="594">
        <v>1</v>
      </c>
      <c r="C44" s="1209" t="s">
        <v>901</v>
      </c>
      <c r="D44" s="1209" t="s">
        <v>901</v>
      </c>
      <c r="E44" s="1209" t="s">
        <v>902</v>
      </c>
      <c r="F44" s="1209" t="s">
        <v>902</v>
      </c>
    </row>
    <row r="45" spans="2:16">
      <c r="B45" s="598">
        <v>2</v>
      </c>
      <c r="C45" s="1210" t="s">
        <v>901</v>
      </c>
      <c r="D45" s="1210" t="s">
        <v>901</v>
      </c>
      <c r="E45" s="1210">
        <v>0.35</v>
      </c>
      <c r="F45" s="1210" t="s">
        <v>903</v>
      </c>
    </row>
    <row r="46" spans="2:16">
      <c r="B46" s="598">
        <v>3</v>
      </c>
      <c r="C46" s="1210">
        <v>0.08</v>
      </c>
      <c r="D46" s="1210" t="s">
        <v>904</v>
      </c>
      <c r="E46" s="1210">
        <v>0.4</v>
      </c>
      <c r="F46" s="1210" t="s">
        <v>903</v>
      </c>
    </row>
    <row r="47" spans="2:16">
      <c r="B47" s="598">
        <v>4</v>
      </c>
      <c r="C47" s="1210">
        <v>0.75</v>
      </c>
      <c r="D47" s="1210" t="s">
        <v>905</v>
      </c>
      <c r="E47" s="1210">
        <v>0.1</v>
      </c>
      <c r="F47" s="1210" t="s">
        <v>904</v>
      </c>
    </row>
    <row r="48" spans="2:16">
      <c r="B48" s="598">
        <v>5</v>
      </c>
      <c r="C48" s="1210">
        <v>0.6</v>
      </c>
      <c r="D48" s="1210" t="s">
        <v>906</v>
      </c>
      <c r="E48" s="1210">
        <v>0</v>
      </c>
      <c r="F48" s="1210" t="s">
        <v>907</v>
      </c>
    </row>
    <row r="49" spans="2:6">
      <c r="B49" s="598">
        <v>6</v>
      </c>
      <c r="C49" s="1210">
        <v>0.5</v>
      </c>
      <c r="D49" s="1210" t="s">
        <v>908</v>
      </c>
      <c r="E49" s="1210">
        <v>0</v>
      </c>
      <c r="F49" s="1210" t="s">
        <v>907</v>
      </c>
    </row>
    <row r="50" spans="2:6">
      <c r="B50" s="598">
        <v>7</v>
      </c>
      <c r="C50" s="1210">
        <v>0.5</v>
      </c>
      <c r="D50" s="1210" t="s">
        <v>909</v>
      </c>
      <c r="E50" s="1210">
        <v>0</v>
      </c>
      <c r="F50" s="1210" t="s">
        <v>907</v>
      </c>
    </row>
    <row r="51" spans="2:6">
      <c r="B51" s="598">
        <v>8</v>
      </c>
      <c r="C51" s="1210">
        <v>0.9</v>
      </c>
      <c r="D51" s="1210" t="s">
        <v>910</v>
      </c>
      <c r="E51" s="1210">
        <v>0</v>
      </c>
      <c r="F51" s="1210" t="s">
        <v>907</v>
      </c>
    </row>
    <row r="52" spans="2:6">
      <c r="B52" s="598">
        <v>9</v>
      </c>
      <c r="C52" s="1210">
        <v>0.95</v>
      </c>
      <c r="D52" s="1210" t="s">
        <v>911</v>
      </c>
      <c r="E52" s="1210">
        <v>0</v>
      </c>
      <c r="F52" s="1210" t="s">
        <v>907</v>
      </c>
    </row>
    <row r="53" spans="2:6">
      <c r="B53" s="598">
        <v>10</v>
      </c>
      <c r="C53" s="1210" t="s">
        <v>912</v>
      </c>
      <c r="D53" s="1210" t="s">
        <v>912</v>
      </c>
      <c r="E53" s="1210">
        <v>0</v>
      </c>
      <c r="F53" s="1210" t="s">
        <v>907</v>
      </c>
    </row>
  </sheetData>
  <mergeCells count="50">
    <mergeCell ref="C53:D53"/>
    <mergeCell ref="E53:F53"/>
    <mergeCell ref="C50:D50"/>
    <mergeCell ref="E50:F50"/>
    <mergeCell ref="C51:D51"/>
    <mergeCell ref="E51:F51"/>
    <mergeCell ref="C52:D52"/>
    <mergeCell ref="E52:F52"/>
    <mergeCell ref="C47:D47"/>
    <mergeCell ref="E47:F47"/>
    <mergeCell ref="C48:D48"/>
    <mergeCell ref="E48:F48"/>
    <mergeCell ref="C49:D49"/>
    <mergeCell ref="E49:F49"/>
    <mergeCell ref="C44:D44"/>
    <mergeCell ref="E44:F44"/>
    <mergeCell ref="C45:D45"/>
    <mergeCell ref="E45:F45"/>
    <mergeCell ref="C46:D46"/>
    <mergeCell ref="E46:F46"/>
    <mergeCell ref="K15:K16"/>
    <mergeCell ref="L15:M15"/>
    <mergeCell ref="N15:N16"/>
    <mergeCell ref="O15:P15"/>
    <mergeCell ref="C43:D43"/>
    <mergeCell ref="E43:F43"/>
    <mergeCell ref="I15:I16"/>
    <mergeCell ref="C12:D12"/>
    <mergeCell ref="E12:F12"/>
    <mergeCell ref="B15:B16"/>
    <mergeCell ref="C15:E15"/>
    <mergeCell ref="F15:H15"/>
    <mergeCell ref="C9:D9"/>
    <mergeCell ref="E9:F9"/>
    <mergeCell ref="C10:D10"/>
    <mergeCell ref="E10:F10"/>
    <mergeCell ref="C11:D11"/>
    <mergeCell ref="E11:F11"/>
    <mergeCell ref="C6:D6"/>
    <mergeCell ref="E6:F6"/>
    <mergeCell ref="C7:D7"/>
    <mergeCell ref="E7:F7"/>
    <mergeCell ref="C8:D8"/>
    <mergeCell ref="E8:F8"/>
    <mergeCell ref="C3:D3"/>
    <mergeCell ref="E3:F3"/>
    <mergeCell ref="C4:D4"/>
    <mergeCell ref="E4:F4"/>
    <mergeCell ref="C5:D5"/>
    <mergeCell ref="E5:F5"/>
  </mergeCells>
  <phoneticPr fontId="3" type="noConversion"/>
  <pageMargins left="0.78" right="0.78740157480314965" top="0.55000000000000004" bottom="0.78740157480314965" header="0.31496062992125984" footer="0.31496062992125984"/>
  <pageSetup paperSize="9" scale="88" orientation="portrait" r:id="rId1"/>
  <headerFooter alignWithMargins="0"/>
</worksheet>
</file>

<file path=xl/worksheets/sheet63.xml><?xml version="1.0" encoding="utf-8"?>
<worksheet xmlns="http://schemas.openxmlformats.org/spreadsheetml/2006/main" xmlns:r="http://schemas.openxmlformats.org/officeDocument/2006/relationships">
  <sheetPr>
    <tabColor theme="7" tint="0.39997558519241921"/>
  </sheetPr>
  <dimension ref="A1:U93"/>
  <sheetViews>
    <sheetView view="pageBreakPreview" zoomScale="75" zoomScaleNormal="85" zoomScaleSheetLayoutView="75" workbookViewId="0">
      <pane ySplit="3" topLeftCell="A13" activePane="bottomLeft" state="frozen"/>
      <selection activeCell="E20" sqref="E20"/>
      <selection pane="bottomLeft" activeCell="E20" sqref="E20"/>
    </sheetView>
  </sheetViews>
  <sheetFormatPr defaultRowHeight="24" customHeight="1"/>
  <cols>
    <col min="1" max="1" width="9.875" style="255" bestFit="1" customWidth="1"/>
    <col min="2" max="2" width="11.875" style="255" bestFit="1" customWidth="1"/>
    <col min="3" max="3" width="12.75" style="255" customWidth="1"/>
    <col min="4" max="5" width="21.875" style="255" customWidth="1"/>
    <col min="6" max="6" width="20.5" style="255" customWidth="1"/>
    <col min="7" max="7" width="10.5" style="255" customWidth="1"/>
    <col min="8" max="8" width="12.75" style="255" customWidth="1"/>
    <col min="9" max="10" width="14.875" style="255" customWidth="1"/>
    <col min="11" max="11" width="12.75" style="221" customWidth="1"/>
    <col min="12" max="12" width="10" style="221" customWidth="1"/>
    <col min="13" max="13" width="9.5" style="221" customWidth="1"/>
    <col min="14" max="14" width="14.125" style="221" bestFit="1" customWidth="1"/>
    <col min="15" max="16" width="7.25" style="221" customWidth="1"/>
    <col min="17" max="17" width="9.25" style="221" customWidth="1"/>
    <col min="18" max="18" width="8.75" style="221" customWidth="1"/>
    <col min="19" max="19" width="8.375" style="221" customWidth="1"/>
    <col min="20" max="256" width="9" style="221"/>
    <col min="257" max="257" width="14.875" style="221" customWidth="1"/>
    <col min="258" max="258" width="11.875" style="221" bestFit="1" customWidth="1"/>
    <col min="259" max="259" width="13.875" style="221" customWidth="1"/>
    <col min="260" max="261" width="21.875" style="221" customWidth="1"/>
    <col min="262" max="262" width="19.625" style="221" customWidth="1"/>
    <col min="263" max="263" width="9.875" style="221" customWidth="1"/>
    <col min="264" max="264" width="12.75" style="221" customWidth="1"/>
    <col min="265" max="266" width="14.875" style="221" customWidth="1"/>
    <col min="267" max="267" width="12.75" style="221" customWidth="1"/>
    <col min="268" max="268" width="10" style="221" customWidth="1"/>
    <col min="269" max="269" width="9.5" style="221" customWidth="1"/>
    <col min="270" max="270" width="9" style="221"/>
    <col min="271" max="272" width="7.25" style="221" customWidth="1"/>
    <col min="273" max="273" width="9.25" style="221" customWidth="1"/>
    <col min="274" max="274" width="8.75" style="221" customWidth="1"/>
    <col min="275" max="275" width="8.375" style="221" customWidth="1"/>
    <col min="276" max="512" width="9" style="221"/>
    <col min="513" max="513" width="14.875" style="221" customWidth="1"/>
    <col min="514" max="514" width="11.875" style="221" bestFit="1" customWidth="1"/>
    <col min="515" max="515" width="13.875" style="221" customWidth="1"/>
    <col min="516" max="517" width="21.875" style="221" customWidth="1"/>
    <col min="518" max="518" width="19.625" style="221" customWidth="1"/>
    <col min="519" max="519" width="9.875" style="221" customWidth="1"/>
    <col min="520" max="520" width="12.75" style="221" customWidth="1"/>
    <col min="521" max="522" width="14.875" style="221" customWidth="1"/>
    <col min="523" max="523" width="12.75" style="221" customWidth="1"/>
    <col min="524" max="524" width="10" style="221" customWidth="1"/>
    <col min="525" max="525" width="9.5" style="221" customWidth="1"/>
    <col min="526" max="526" width="9" style="221"/>
    <col min="527" max="528" width="7.25" style="221" customWidth="1"/>
    <col min="529" max="529" width="9.25" style="221" customWidth="1"/>
    <col min="530" max="530" width="8.75" style="221" customWidth="1"/>
    <col min="531" max="531" width="8.375" style="221" customWidth="1"/>
    <col min="532" max="768" width="9" style="221"/>
    <col min="769" max="769" width="14.875" style="221" customWidth="1"/>
    <col min="770" max="770" width="11.875" style="221" bestFit="1" customWidth="1"/>
    <col min="771" max="771" width="13.875" style="221" customWidth="1"/>
    <col min="772" max="773" width="21.875" style="221" customWidth="1"/>
    <col min="774" max="774" width="19.625" style="221" customWidth="1"/>
    <col min="775" max="775" width="9.875" style="221" customWidth="1"/>
    <col min="776" max="776" width="12.75" style="221" customWidth="1"/>
    <col min="777" max="778" width="14.875" style="221" customWidth="1"/>
    <col min="779" max="779" width="12.75" style="221" customWidth="1"/>
    <col min="780" max="780" width="10" style="221" customWidth="1"/>
    <col min="781" max="781" width="9.5" style="221" customWidth="1"/>
    <col min="782" max="782" width="9" style="221"/>
    <col min="783" max="784" width="7.25" style="221" customWidth="1"/>
    <col min="785" max="785" width="9.25" style="221" customWidth="1"/>
    <col min="786" max="786" width="8.75" style="221" customWidth="1"/>
    <col min="787" max="787" width="8.375" style="221" customWidth="1"/>
    <col min="788" max="1024" width="9" style="221"/>
    <col min="1025" max="1025" width="14.875" style="221" customWidth="1"/>
    <col min="1026" max="1026" width="11.875" style="221" bestFit="1" customWidth="1"/>
    <col min="1027" max="1027" width="13.875" style="221" customWidth="1"/>
    <col min="1028" max="1029" width="21.875" style="221" customWidth="1"/>
    <col min="1030" max="1030" width="19.625" style="221" customWidth="1"/>
    <col min="1031" max="1031" width="9.875" style="221" customWidth="1"/>
    <col min="1032" max="1032" width="12.75" style="221" customWidth="1"/>
    <col min="1033" max="1034" width="14.875" style="221" customWidth="1"/>
    <col min="1035" max="1035" width="12.75" style="221" customWidth="1"/>
    <col min="1036" max="1036" width="10" style="221" customWidth="1"/>
    <col min="1037" max="1037" width="9.5" style="221" customWidth="1"/>
    <col min="1038" max="1038" width="9" style="221"/>
    <col min="1039" max="1040" width="7.25" style="221" customWidth="1"/>
    <col min="1041" max="1041" width="9.25" style="221" customWidth="1"/>
    <col min="1042" max="1042" width="8.75" style="221" customWidth="1"/>
    <col min="1043" max="1043" width="8.375" style="221" customWidth="1"/>
    <col min="1044" max="1280" width="9" style="221"/>
    <col min="1281" max="1281" width="14.875" style="221" customWidth="1"/>
    <col min="1282" max="1282" width="11.875" style="221" bestFit="1" customWidth="1"/>
    <col min="1283" max="1283" width="13.875" style="221" customWidth="1"/>
    <col min="1284" max="1285" width="21.875" style="221" customWidth="1"/>
    <col min="1286" max="1286" width="19.625" style="221" customWidth="1"/>
    <col min="1287" max="1287" width="9.875" style="221" customWidth="1"/>
    <col min="1288" max="1288" width="12.75" style="221" customWidth="1"/>
    <col min="1289" max="1290" width="14.875" style="221" customWidth="1"/>
    <col min="1291" max="1291" width="12.75" style="221" customWidth="1"/>
    <col min="1292" max="1292" width="10" style="221" customWidth="1"/>
    <col min="1293" max="1293" width="9.5" style="221" customWidth="1"/>
    <col min="1294" max="1294" width="9" style="221"/>
    <col min="1295" max="1296" width="7.25" style="221" customWidth="1"/>
    <col min="1297" max="1297" width="9.25" style="221" customWidth="1"/>
    <col min="1298" max="1298" width="8.75" style="221" customWidth="1"/>
    <col min="1299" max="1299" width="8.375" style="221" customWidth="1"/>
    <col min="1300" max="1536" width="9" style="221"/>
    <col min="1537" max="1537" width="14.875" style="221" customWidth="1"/>
    <col min="1538" max="1538" width="11.875" style="221" bestFit="1" customWidth="1"/>
    <col min="1539" max="1539" width="13.875" style="221" customWidth="1"/>
    <col min="1540" max="1541" width="21.875" style="221" customWidth="1"/>
    <col min="1542" max="1542" width="19.625" style="221" customWidth="1"/>
    <col min="1543" max="1543" width="9.875" style="221" customWidth="1"/>
    <col min="1544" max="1544" width="12.75" style="221" customWidth="1"/>
    <col min="1545" max="1546" width="14.875" style="221" customWidth="1"/>
    <col min="1547" max="1547" width="12.75" style="221" customWidth="1"/>
    <col min="1548" max="1548" width="10" style="221" customWidth="1"/>
    <col min="1549" max="1549" width="9.5" style="221" customWidth="1"/>
    <col min="1550" max="1550" width="9" style="221"/>
    <col min="1551" max="1552" width="7.25" style="221" customWidth="1"/>
    <col min="1553" max="1553" width="9.25" style="221" customWidth="1"/>
    <col min="1554" max="1554" width="8.75" style="221" customWidth="1"/>
    <col min="1555" max="1555" width="8.375" style="221" customWidth="1"/>
    <col min="1556" max="1792" width="9" style="221"/>
    <col min="1793" max="1793" width="14.875" style="221" customWidth="1"/>
    <col min="1794" max="1794" width="11.875" style="221" bestFit="1" customWidth="1"/>
    <col min="1795" max="1795" width="13.875" style="221" customWidth="1"/>
    <col min="1796" max="1797" width="21.875" style="221" customWidth="1"/>
    <col min="1798" max="1798" width="19.625" style="221" customWidth="1"/>
    <col min="1799" max="1799" width="9.875" style="221" customWidth="1"/>
    <col min="1800" max="1800" width="12.75" style="221" customWidth="1"/>
    <col min="1801" max="1802" width="14.875" style="221" customWidth="1"/>
    <col min="1803" max="1803" width="12.75" style="221" customWidth="1"/>
    <col min="1804" max="1804" width="10" style="221" customWidth="1"/>
    <col min="1805" max="1805" width="9.5" style="221" customWidth="1"/>
    <col min="1806" max="1806" width="9" style="221"/>
    <col min="1807" max="1808" width="7.25" style="221" customWidth="1"/>
    <col min="1809" max="1809" width="9.25" style="221" customWidth="1"/>
    <col min="1810" max="1810" width="8.75" style="221" customWidth="1"/>
    <col min="1811" max="1811" width="8.375" style="221" customWidth="1"/>
    <col min="1812" max="2048" width="9" style="221"/>
    <col min="2049" max="2049" width="14.875" style="221" customWidth="1"/>
    <col min="2050" max="2050" width="11.875" style="221" bestFit="1" customWidth="1"/>
    <col min="2051" max="2051" width="13.875" style="221" customWidth="1"/>
    <col min="2052" max="2053" width="21.875" style="221" customWidth="1"/>
    <col min="2054" max="2054" width="19.625" style="221" customWidth="1"/>
    <col min="2055" max="2055" width="9.875" style="221" customWidth="1"/>
    <col min="2056" max="2056" width="12.75" style="221" customWidth="1"/>
    <col min="2057" max="2058" width="14.875" style="221" customWidth="1"/>
    <col min="2059" max="2059" width="12.75" style="221" customWidth="1"/>
    <col min="2060" max="2060" width="10" style="221" customWidth="1"/>
    <col min="2061" max="2061" width="9.5" style="221" customWidth="1"/>
    <col min="2062" max="2062" width="9" style="221"/>
    <col min="2063" max="2064" width="7.25" style="221" customWidth="1"/>
    <col min="2065" max="2065" width="9.25" style="221" customWidth="1"/>
    <col min="2066" max="2066" width="8.75" style="221" customWidth="1"/>
    <col min="2067" max="2067" width="8.375" style="221" customWidth="1"/>
    <col min="2068" max="2304" width="9" style="221"/>
    <col min="2305" max="2305" width="14.875" style="221" customWidth="1"/>
    <col min="2306" max="2306" width="11.875" style="221" bestFit="1" customWidth="1"/>
    <col min="2307" max="2307" width="13.875" style="221" customWidth="1"/>
    <col min="2308" max="2309" width="21.875" style="221" customWidth="1"/>
    <col min="2310" max="2310" width="19.625" style="221" customWidth="1"/>
    <col min="2311" max="2311" width="9.875" style="221" customWidth="1"/>
    <col min="2312" max="2312" width="12.75" style="221" customWidth="1"/>
    <col min="2313" max="2314" width="14.875" style="221" customWidth="1"/>
    <col min="2315" max="2315" width="12.75" style="221" customWidth="1"/>
    <col min="2316" max="2316" width="10" style="221" customWidth="1"/>
    <col min="2317" max="2317" width="9.5" style="221" customWidth="1"/>
    <col min="2318" max="2318" width="9" style="221"/>
    <col min="2319" max="2320" width="7.25" style="221" customWidth="1"/>
    <col min="2321" max="2321" width="9.25" style="221" customWidth="1"/>
    <col min="2322" max="2322" width="8.75" style="221" customWidth="1"/>
    <col min="2323" max="2323" width="8.375" style="221" customWidth="1"/>
    <col min="2324" max="2560" width="9" style="221"/>
    <col min="2561" max="2561" width="14.875" style="221" customWidth="1"/>
    <col min="2562" max="2562" width="11.875" style="221" bestFit="1" customWidth="1"/>
    <col min="2563" max="2563" width="13.875" style="221" customWidth="1"/>
    <col min="2564" max="2565" width="21.875" style="221" customWidth="1"/>
    <col min="2566" max="2566" width="19.625" style="221" customWidth="1"/>
    <col min="2567" max="2567" width="9.875" style="221" customWidth="1"/>
    <col min="2568" max="2568" width="12.75" style="221" customWidth="1"/>
    <col min="2569" max="2570" width="14.875" style="221" customWidth="1"/>
    <col min="2571" max="2571" width="12.75" style="221" customWidth="1"/>
    <col min="2572" max="2572" width="10" style="221" customWidth="1"/>
    <col min="2573" max="2573" width="9.5" style="221" customWidth="1"/>
    <col min="2574" max="2574" width="9" style="221"/>
    <col min="2575" max="2576" width="7.25" style="221" customWidth="1"/>
    <col min="2577" max="2577" width="9.25" style="221" customWidth="1"/>
    <col min="2578" max="2578" width="8.75" style="221" customWidth="1"/>
    <col min="2579" max="2579" width="8.375" style="221" customWidth="1"/>
    <col min="2580" max="2816" width="9" style="221"/>
    <col min="2817" max="2817" width="14.875" style="221" customWidth="1"/>
    <col min="2818" max="2818" width="11.875" style="221" bestFit="1" customWidth="1"/>
    <col min="2819" max="2819" width="13.875" style="221" customWidth="1"/>
    <col min="2820" max="2821" width="21.875" style="221" customWidth="1"/>
    <col min="2822" max="2822" width="19.625" style="221" customWidth="1"/>
    <col min="2823" max="2823" width="9.875" style="221" customWidth="1"/>
    <col min="2824" max="2824" width="12.75" style="221" customWidth="1"/>
    <col min="2825" max="2826" width="14.875" style="221" customWidth="1"/>
    <col min="2827" max="2827" width="12.75" style="221" customWidth="1"/>
    <col min="2828" max="2828" width="10" style="221" customWidth="1"/>
    <col min="2829" max="2829" width="9.5" style="221" customWidth="1"/>
    <col min="2830" max="2830" width="9" style="221"/>
    <col min="2831" max="2832" width="7.25" style="221" customWidth="1"/>
    <col min="2833" max="2833" width="9.25" style="221" customWidth="1"/>
    <col min="2834" max="2834" width="8.75" style="221" customWidth="1"/>
    <col min="2835" max="2835" width="8.375" style="221" customWidth="1"/>
    <col min="2836" max="3072" width="9" style="221"/>
    <col min="3073" max="3073" width="14.875" style="221" customWidth="1"/>
    <col min="3074" max="3074" width="11.875" style="221" bestFit="1" customWidth="1"/>
    <col min="3075" max="3075" width="13.875" style="221" customWidth="1"/>
    <col min="3076" max="3077" width="21.875" style="221" customWidth="1"/>
    <col min="3078" max="3078" width="19.625" style="221" customWidth="1"/>
    <col min="3079" max="3079" width="9.875" style="221" customWidth="1"/>
    <col min="3080" max="3080" width="12.75" style="221" customWidth="1"/>
    <col min="3081" max="3082" width="14.875" style="221" customWidth="1"/>
    <col min="3083" max="3083" width="12.75" style="221" customWidth="1"/>
    <col min="3084" max="3084" width="10" style="221" customWidth="1"/>
    <col min="3085" max="3085" width="9.5" style="221" customWidth="1"/>
    <col min="3086" max="3086" width="9" style="221"/>
    <col min="3087" max="3088" width="7.25" style="221" customWidth="1"/>
    <col min="3089" max="3089" width="9.25" style="221" customWidth="1"/>
    <col min="3090" max="3090" width="8.75" style="221" customWidth="1"/>
    <col min="3091" max="3091" width="8.375" style="221" customWidth="1"/>
    <col min="3092" max="3328" width="9" style="221"/>
    <col min="3329" max="3329" width="14.875" style="221" customWidth="1"/>
    <col min="3330" max="3330" width="11.875" style="221" bestFit="1" customWidth="1"/>
    <col min="3331" max="3331" width="13.875" style="221" customWidth="1"/>
    <col min="3332" max="3333" width="21.875" style="221" customWidth="1"/>
    <col min="3334" max="3334" width="19.625" style="221" customWidth="1"/>
    <col min="3335" max="3335" width="9.875" style="221" customWidth="1"/>
    <col min="3336" max="3336" width="12.75" style="221" customWidth="1"/>
    <col min="3337" max="3338" width="14.875" style="221" customWidth="1"/>
    <col min="3339" max="3339" width="12.75" style="221" customWidth="1"/>
    <col min="3340" max="3340" width="10" style="221" customWidth="1"/>
    <col min="3341" max="3341" width="9.5" style="221" customWidth="1"/>
    <col min="3342" max="3342" width="9" style="221"/>
    <col min="3343" max="3344" width="7.25" style="221" customWidth="1"/>
    <col min="3345" max="3345" width="9.25" style="221" customWidth="1"/>
    <col min="3346" max="3346" width="8.75" style="221" customWidth="1"/>
    <col min="3347" max="3347" width="8.375" style="221" customWidth="1"/>
    <col min="3348" max="3584" width="9" style="221"/>
    <col min="3585" max="3585" width="14.875" style="221" customWidth="1"/>
    <col min="3586" max="3586" width="11.875" style="221" bestFit="1" customWidth="1"/>
    <col min="3587" max="3587" width="13.875" style="221" customWidth="1"/>
    <col min="3588" max="3589" width="21.875" style="221" customWidth="1"/>
    <col min="3590" max="3590" width="19.625" style="221" customWidth="1"/>
    <col min="3591" max="3591" width="9.875" style="221" customWidth="1"/>
    <col min="3592" max="3592" width="12.75" style="221" customWidth="1"/>
    <col min="3593" max="3594" width="14.875" style="221" customWidth="1"/>
    <col min="3595" max="3595" width="12.75" style="221" customWidth="1"/>
    <col min="3596" max="3596" width="10" style="221" customWidth="1"/>
    <col min="3597" max="3597" width="9.5" style="221" customWidth="1"/>
    <col min="3598" max="3598" width="9" style="221"/>
    <col min="3599" max="3600" width="7.25" style="221" customWidth="1"/>
    <col min="3601" max="3601" width="9.25" style="221" customWidth="1"/>
    <col min="3602" max="3602" width="8.75" style="221" customWidth="1"/>
    <col min="3603" max="3603" width="8.375" style="221" customWidth="1"/>
    <col min="3604" max="3840" width="9" style="221"/>
    <col min="3841" max="3841" width="14.875" style="221" customWidth="1"/>
    <col min="3842" max="3842" width="11.875" style="221" bestFit="1" customWidth="1"/>
    <col min="3843" max="3843" width="13.875" style="221" customWidth="1"/>
    <col min="3844" max="3845" width="21.875" style="221" customWidth="1"/>
    <col min="3846" max="3846" width="19.625" style="221" customWidth="1"/>
    <col min="3847" max="3847" width="9.875" style="221" customWidth="1"/>
    <col min="3848" max="3848" width="12.75" style="221" customWidth="1"/>
    <col min="3849" max="3850" width="14.875" style="221" customWidth="1"/>
    <col min="3851" max="3851" width="12.75" style="221" customWidth="1"/>
    <col min="3852" max="3852" width="10" style="221" customWidth="1"/>
    <col min="3853" max="3853" width="9.5" style="221" customWidth="1"/>
    <col min="3854" max="3854" width="9" style="221"/>
    <col min="3855" max="3856" width="7.25" style="221" customWidth="1"/>
    <col min="3857" max="3857" width="9.25" style="221" customWidth="1"/>
    <col min="3858" max="3858" width="8.75" style="221" customWidth="1"/>
    <col min="3859" max="3859" width="8.375" style="221" customWidth="1"/>
    <col min="3860" max="4096" width="9" style="221"/>
    <col min="4097" max="4097" width="14.875" style="221" customWidth="1"/>
    <col min="4098" max="4098" width="11.875" style="221" bestFit="1" customWidth="1"/>
    <col min="4099" max="4099" width="13.875" style="221" customWidth="1"/>
    <col min="4100" max="4101" width="21.875" style="221" customWidth="1"/>
    <col min="4102" max="4102" width="19.625" style="221" customWidth="1"/>
    <col min="4103" max="4103" width="9.875" style="221" customWidth="1"/>
    <col min="4104" max="4104" width="12.75" style="221" customWidth="1"/>
    <col min="4105" max="4106" width="14.875" style="221" customWidth="1"/>
    <col min="4107" max="4107" width="12.75" style="221" customWidth="1"/>
    <col min="4108" max="4108" width="10" style="221" customWidth="1"/>
    <col min="4109" max="4109" width="9.5" style="221" customWidth="1"/>
    <col min="4110" max="4110" width="9" style="221"/>
    <col min="4111" max="4112" width="7.25" style="221" customWidth="1"/>
    <col min="4113" max="4113" width="9.25" style="221" customWidth="1"/>
    <col min="4114" max="4114" width="8.75" style="221" customWidth="1"/>
    <col min="4115" max="4115" width="8.375" style="221" customWidth="1"/>
    <col min="4116" max="4352" width="9" style="221"/>
    <col min="4353" max="4353" width="14.875" style="221" customWidth="1"/>
    <col min="4354" max="4354" width="11.875" style="221" bestFit="1" customWidth="1"/>
    <col min="4355" max="4355" width="13.875" style="221" customWidth="1"/>
    <col min="4356" max="4357" width="21.875" style="221" customWidth="1"/>
    <col min="4358" max="4358" width="19.625" style="221" customWidth="1"/>
    <col min="4359" max="4359" width="9.875" style="221" customWidth="1"/>
    <col min="4360" max="4360" width="12.75" style="221" customWidth="1"/>
    <col min="4361" max="4362" width="14.875" style="221" customWidth="1"/>
    <col min="4363" max="4363" width="12.75" style="221" customWidth="1"/>
    <col min="4364" max="4364" width="10" style="221" customWidth="1"/>
    <col min="4365" max="4365" width="9.5" style="221" customWidth="1"/>
    <col min="4366" max="4366" width="9" style="221"/>
    <col min="4367" max="4368" width="7.25" style="221" customWidth="1"/>
    <col min="4369" max="4369" width="9.25" style="221" customWidth="1"/>
    <col min="4370" max="4370" width="8.75" style="221" customWidth="1"/>
    <col min="4371" max="4371" width="8.375" style="221" customWidth="1"/>
    <col min="4372" max="4608" width="9" style="221"/>
    <col min="4609" max="4609" width="14.875" style="221" customWidth="1"/>
    <col min="4610" max="4610" width="11.875" style="221" bestFit="1" customWidth="1"/>
    <col min="4611" max="4611" width="13.875" style="221" customWidth="1"/>
    <col min="4612" max="4613" width="21.875" style="221" customWidth="1"/>
    <col min="4614" max="4614" width="19.625" style="221" customWidth="1"/>
    <col min="4615" max="4615" width="9.875" style="221" customWidth="1"/>
    <col min="4616" max="4616" width="12.75" style="221" customWidth="1"/>
    <col min="4617" max="4618" width="14.875" style="221" customWidth="1"/>
    <col min="4619" max="4619" width="12.75" style="221" customWidth="1"/>
    <col min="4620" max="4620" width="10" style="221" customWidth="1"/>
    <col min="4621" max="4621" width="9.5" style="221" customWidth="1"/>
    <col min="4622" max="4622" width="9" style="221"/>
    <col min="4623" max="4624" width="7.25" style="221" customWidth="1"/>
    <col min="4625" max="4625" width="9.25" style="221" customWidth="1"/>
    <col min="4626" max="4626" width="8.75" style="221" customWidth="1"/>
    <col min="4627" max="4627" width="8.375" style="221" customWidth="1"/>
    <col min="4628" max="4864" width="9" style="221"/>
    <col min="4865" max="4865" width="14.875" style="221" customWidth="1"/>
    <col min="4866" max="4866" width="11.875" style="221" bestFit="1" customWidth="1"/>
    <col min="4867" max="4867" width="13.875" style="221" customWidth="1"/>
    <col min="4868" max="4869" width="21.875" style="221" customWidth="1"/>
    <col min="4870" max="4870" width="19.625" style="221" customWidth="1"/>
    <col min="4871" max="4871" width="9.875" style="221" customWidth="1"/>
    <col min="4872" max="4872" width="12.75" style="221" customWidth="1"/>
    <col min="4873" max="4874" width="14.875" style="221" customWidth="1"/>
    <col min="4875" max="4875" width="12.75" style="221" customWidth="1"/>
    <col min="4876" max="4876" width="10" style="221" customWidth="1"/>
    <col min="4877" max="4877" width="9.5" style="221" customWidth="1"/>
    <col min="4878" max="4878" width="9" style="221"/>
    <col min="4879" max="4880" width="7.25" style="221" customWidth="1"/>
    <col min="4881" max="4881" width="9.25" style="221" customWidth="1"/>
    <col min="4882" max="4882" width="8.75" style="221" customWidth="1"/>
    <col min="4883" max="4883" width="8.375" style="221" customWidth="1"/>
    <col min="4884" max="5120" width="9" style="221"/>
    <col min="5121" max="5121" width="14.875" style="221" customWidth="1"/>
    <col min="5122" max="5122" width="11.875" style="221" bestFit="1" customWidth="1"/>
    <col min="5123" max="5123" width="13.875" style="221" customWidth="1"/>
    <col min="5124" max="5125" width="21.875" style="221" customWidth="1"/>
    <col min="5126" max="5126" width="19.625" style="221" customWidth="1"/>
    <col min="5127" max="5127" width="9.875" style="221" customWidth="1"/>
    <col min="5128" max="5128" width="12.75" style="221" customWidth="1"/>
    <col min="5129" max="5130" width="14.875" style="221" customWidth="1"/>
    <col min="5131" max="5131" width="12.75" style="221" customWidth="1"/>
    <col min="5132" max="5132" width="10" style="221" customWidth="1"/>
    <col min="5133" max="5133" width="9.5" style="221" customWidth="1"/>
    <col min="5134" max="5134" width="9" style="221"/>
    <col min="5135" max="5136" width="7.25" style="221" customWidth="1"/>
    <col min="5137" max="5137" width="9.25" style="221" customWidth="1"/>
    <col min="5138" max="5138" width="8.75" style="221" customWidth="1"/>
    <col min="5139" max="5139" width="8.375" style="221" customWidth="1"/>
    <col min="5140" max="5376" width="9" style="221"/>
    <col min="5377" max="5377" width="14.875" style="221" customWidth="1"/>
    <col min="5378" max="5378" width="11.875" style="221" bestFit="1" customWidth="1"/>
    <col min="5379" max="5379" width="13.875" style="221" customWidth="1"/>
    <col min="5380" max="5381" width="21.875" style="221" customWidth="1"/>
    <col min="5382" max="5382" width="19.625" style="221" customWidth="1"/>
    <col min="5383" max="5383" width="9.875" style="221" customWidth="1"/>
    <col min="5384" max="5384" width="12.75" style="221" customWidth="1"/>
    <col min="5385" max="5386" width="14.875" style="221" customWidth="1"/>
    <col min="5387" max="5387" width="12.75" style="221" customWidth="1"/>
    <col min="5388" max="5388" width="10" style="221" customWidth="1"/>
    <col min="5389" max="5389" width="9.5" style="221" customWidth="1"/>
    <col min="5390" max="5390" width="9" style="221"/>
    <col min="5391" max="5392" width="7.25" style="221" customWidth="1"/>
    <col min="5393" max="5393" width="9.25" style="221" customWidth="1"/>
    <col min="5394" max="5394" width="8.75" style="221" customWidth="1"/>
    <col min="5395" max="5395" width="8.375" style="221" customWidth="1"/>
    <col min="5396" max="5632" width="9" style="221"/>
    <col min="5633" max="5633" width="14.875" style="221" customWidth="1"/>
    <col min="5634" max="5634" width="11.875" style="221" bestFit="1" customWidth="1"/>
    <col min="5635" max="5635" width="13.875" style="221" customWidth="1"/>
    <col min="5636" max="5637" width="21.875" style="221" customWidth="1"/>
    <col min="5638" max="5638" width="19.625" style="221" customWidth="1"/>
    <col min="5639" max="5639" width="9.875" style="221" customWidth="1"/>
    <col min="5640" max="5640" width="12.75" style="221" customWidth="1"/>
    <col min="5641" max="5642" width="14.875" style="221" customWidth="1"/>
    <col min="5643" max="5643" width="12.75" style="221" customWidth="1"/>
    <col min="5644" max="5644" width="10" style="221" customWidth="1"/>
    <col min="5645" max="5645" width="9.5" style="221" customWidth="1"/>
    <col min="5646" max="5646" width="9" style="221"/>
    <col min="5647" max="5648" width="7.25" style="221" customWidth="1"/>
    <col min="5649" max="5649" width="9.25" style="221" customWidth="1"/>
    <col min="5650" max="5650" width="8.75" style="221" customWidth="1"/>
    <col min="5651" max="5651" width="8.375" style="221" customWidth="1"/>
    <col min="5652" max="5888" width="9" style="221"/>
    <col min="5889" max="5889" width="14.875" style="221" customWidth="1"/>
    <col min="5890" max="5890" width="11.875" style="221" bestFit="1" customWidth="1"/>
    <col min="5891" max="5891" width="13.875" style="221" customWidth="1"/>
    <col min="5892" max="5893" width="21.875" style="221" customWidth="1"/>
    <col min="5894" max="5894" width="19.625" style="221" customWidth="1"/>
    <col min="5895" max="5895" width="9.875" style="221" customWidth="1"/>
    <col min="5896" max="5896" width="12.75" style="221" customWidth="1"/>
    <col min="5897" max="5898" width="14.875" style="221" customWidth="1"/>
    <col min="5899" max="5899" width="12.75" style="221" customWidth="1"/>
    <col min="5900" max="5900" width="10" style="221" customWidth="1"/>
    <col min="5901" max="5901" width="9.5" style="221" customWidth="1"/>
    <col min="5902" max="5902" width="9" style="221"/>
    <col min="5903" max="5904" width="7.25" style="221" customWidth="1"/>
    <col min="5905" max="5905" width="9.25" style="221" customWidth="1"/>
    <col min="5906" max="5906" width="8.75" style="221" customWidth="1"/>
    <col min="5907" max="5907" width="8.375" style="221" customWidth="1"/>
    <col min="5908" max="6144" width="9" style="221"/>
    <col min="6145" max="6145" width="14.875" style="221" customWidth="1"/>
    <col min="6146" max="6146" width="11.875" style="221" bestFit="1" customWidth="1"/>
    <col min="6147" max="6147" width="13.875" style="221" customWidth="1"/>
    <col min="6148" max="6149" width="21.875" style="221" customWidth="1"/>
    <col min="6150" max="6150" width="19.625" style="221" customWidth="1"/>
    <col min="6151" max="6151" width="9.875" style="221" customWidth="1"/>
    <col min="6152" max="6152" width="12.75" style="221" customWidth="1"/>
    <col min="6153" max="6154" width="14.875" style="221" customWidth="1"/>
    <col min="6155" max="6155" width="12.75" style="221" customWidth="1"/>
    <col min="6156" max="6156" width="10" style="221" customWidth="1"/>
    <col min="6157" max="6157" width="9.5" style="221" customWidth="1"/>
    <col min="6158" max="6158" width="9" style="221"/>
    <col min="6159" max="6160" width="7.25" style="221" customWidth="1"/>
    <col min="6161" max="6161" width="9.25" style="221" customWidth="1"/>
    <col min="6162" max="6162" width="8.75" style="221" customWidth="1"/>
    <col min="6163" max="6163" width="8.375" style="221" customWidth="1"/>
    <col min="6164" max="6400" width="9" style="221"/>
    <col min="6401" max="6401" width="14.875" style="221" customWidth="1"/>
    <col min="6402" max="6402" width="11.875" style="221" bestFit="1" customWidth="1"/>
    <col min="6403" max="6403" width="13.875" style="221" customWidth="1"/>
    <col min="6404" max="6405" width="21.875" style="221" customWidth="1"/>
    <col min="6406" max="6406" width="19.625" style="221" customWidth="1"/>
    <col min="6407" max="6407" width="9.875" style="221" customWidth="1"/>
    <col min="6408" max="6408" width="12.75" style="221" customWidth="1"/>
    <col min="6409" max="6410" width="14.875" style="221" customWidth="1"/>
    <col min="6411" max="6411" width="12.75" style="221" customWidth="1"/>
    <col min="6412" max="6412" width="10" style="221" customWidth="1"/>
    <col min="6413" max="6413" width="9.5" style="221" customWidth="1"/>
    <col min="6414" max="6414" width="9" style="221"/>
    <col min="6415" max="6416" width="7.25" style="221" customWidth="1"/>
    <col min="6417" max="6417" width="9.25" style="221" customWidth="1"/>
    <col min="6418" max="6418" width="8.75" style="221" customWidth="1"/>
    <col min="6419" max="6419" width="8.375" style="221" customWidth="1"/>
    <col min="6420" max="6656" width="9" style="221"/>
    <col min="6657" max="6657" width="14.875" style="221" customWidth="1"/>
    <col min="6658" max="6658" width="11.875" style="221" bestFit="1" customWidth="1"/>
    <col min="6659" max="6659" width="13.875" style="221" customWidth="1"/>
    <col min="6660" max="6661" width="21.875" style="221" customWidth="1"/>
    <col min="6662" max="6662" width="19.625" style="221" customWidth="1"/>
    <col min="6663" max="6663" width="9.875" style="221" customWidth="1"/>
    <col min="6664" max="6664" width="12.75" style="221" customWidth="1"/>
    <col min="6665" max="6666" width="14.875" style="221" customWidth="1"/>
    <col min="6667" max="6667" width="12.75" style="221" customWidth="1"/>
    <col min="6668" max="6668" width="10" style="221" customWidth="1"/>
    <col min="6669" max="6669" width="9.5" style="221" customWidth="1"/>
    <col min="6670" max="6670" width="9" style="221"/>
    <col min="6671" max="6672" width="7.25" style="221" customWidth="1"/>
    <col min="6673" max="6673" width="9.25" style="221" customWidth="1"/>
    <col min="6674" max="6674" width="8.75" style="221" customWidth="1"/>
    <col min="6675" max="6675" width="8.375" style="221" customWidth="1"/>
    <col min="6676" max="6912" width="9" style="221"/>
    <col min="6913" max="6913" width="14.875" style="221" customWidth="1"/>
    <col min="6914" max="6914" width="11.875" style="221" bestFit="1" customWidth="1"/>
    <col min="6915" max="6915" width="13.875" style="221" customWidth="1"/>
    <col min="6916" max="6917" width="21.875" style="221" customWidth="1"/>
    <col min="6918" max="6918" width="19.625" style="221" customWidth="1"/>
    <col min="6919" max="6919" width="9.875" style="221" customWidth="1"/>
    <col min="6920" max="6920" width="12.75" style="221" customWidth="1"/>
    <col min="6921" max="6922" width="14.875" style="221" customWidth="1"/>
    <col min="6923" max="6923" width="12.75" style="221" customWidth="1"/>
    <col min="6924" max="6924" width="10" style="221" customWidth="1"/>
    <col min="6925" max="6925" width="9.5" style="221" customWidth="1"/>
    <col min="6926" max="6926" width="9" style="221"/>
    <col min="6927" max="6928" width="7.25" style="221" customWidth="1"/>
    <col min="6929" max="6929" width="9.25" style="221" customWidth="1"/>
    <col min="6930" max="6930" width="8.75" style="221" customWidth="1"/>
    <col min="6931" max="6931" width="8.375" style="221" customWidth="1"/>
    <col min="6932" max="7168" width="9" style="221"/>
    <col min="7169" max="7169" width="14.875" style="221" customWidth="1"/>
    <col min="7170" max="7170" width="11.875" style="221" bestFit="1" customWidth="1"/>
    <col min="7171" max="7171" width="13.875" style="221" customWidth="1"/>
    <col min="7172" max="7173" width="21.875" style="221" customWidth="1"/>
    <col min="7174" max="7174" width="19.625" style="221" customWidth="1"/>
    <col min="7175" max="7175" width="9.875" style="221" customWidth="1"/>
    <col min="7176" max="7176" width="12.75" style="221" customWidth="1"/>
    <col min="7177" max="7178" width="14.875" style="221" customWidth="1"/>
    <col min="7179" max="7179" width="12.75" style="221" customWidth="1"/>
    <col min="7180" max="7180" width="10" style="221" customWidth="1"/>
    <col min="7181" max="7181" width="9.5" style="221" customWidth="1"/>
    <col min="7182" max="7182" width="9" style="221"/>
    <col min="7183" max="7184" width="7.25" style="221" customWidth="1"/>
    <col min="7185" max="7185" width="9.25" style="221" customWidth="1"/>
    <col min="7186" max="7186" width="8.75" style="221" customWidth="1"/>
    <col min="7187" max="7187" width="8.375" style="221" customWidth="1"/>
    <col min="7188" max="7424" width="9" style="221"/>
    <col min="7425" max="7425" width="14.875" style="221" customWidth="1"/>
    <col min="7426" max="7426" width="11.875" style="221" bestFit="1" customWidth="1"/>
    <col min="7427" max="7427" width="13.875" style="221" customWidth="1"/>
    <col min="7428" max="7429" width="21.875" style="221" customWidth="1"/>
    <col min="7430" max="7430" width="19.625" style="221" customWidth="1"/>
    <col min="7431" max="7431" width="9.875" style="221" customWidth="1"/>
    <col min="7432" max="7432" width="12.75" style="221" customWidth="1"/>
    <col min="7433" max="7434" width="14.875" style="221" customWidth="1"/>
    <col min="7435" max="7435" width="12.75" style="221" customWidth="1"/>
    <col min="7436" max="7436" width="10" style="221" customWidth="1"/>
    <col min="7437" max="7437" width="9.5" style="221" customWidth="1"/>
    <col min="7438" max="7438" width="9" style="221"/>
    <col min="7439" max="7440" width="7.25" style="221" customWidth="1"/>
    <col min="7441" max="7441" width="9.25" style="221" customWidth="1"/>
    <col min="7442" max="7442" width="8.75" style="221" customWidth="1"/>
    <col min="7443" max="7443" width="8.375" style="221" customWidth="1"/>
    <col min="7444" max="7680" width="9" style="221"/>
    <col min="7681" max="7681" width="14.875" style="221" customWidth="1"/>
    <col min="7682" max="7682" width="11.875" style="221" bestFit="1" customWidth="1"/>
    <col min="7683" max="7683" width="13.875" style="221" customWidth="1"/>
    <col min="7684" max="7685" width="21.875" style="221" customWidth="1"/>
    <col min="7686" max="7686" width="19.625" style="221" customWidth="1"/>
    <col min="7687" max="7687" width="9.875" style="221" customWidth="1"/>
    <col min="7688" max="7688" width="12.75" style="221" customWidth="1"/>
    <col min="7689" max="7690" width="14.875" style="221" customWidth="1"/>
    <col min="7691" max="7691" width="12.75" style="221" customWidth="1"/>
    <col min="7692" max="7692" width="10" style="221" customWidth="1"/>
    <col min="7693" max="7693" width="9.5" style="221" customWidth="1"/>
    <col min="7694" max="7694" width="9" style="221"/>
    <col min="7695" max="7696" width="7.25" style="221" customWidth="1"/>
    <col min="7697" max="7697" width="9.25" style="221" customWidth="1"/>
    <col min="7698" max="7698" width="8.75" style="221" customWidth="1"/>
    <col min="7699" max="7699" width="8.375" style="221" customWidth="1"/>
    <col min="7700" max="7936" width="9" style="221"/>
    <col min="7937" max="7937" width="14.875" style="221" customWidth="1"/>
    <col min="7938" max="7938" width="11.875" style="221" bestFit="1" customWidth="1"/>
    <col min="7939" max="7939" width="13.875" style="221" customWidth="1"/>
    <col min="7940" max="7941" width="21.875" style="221" customWidth="1"/>
    <col min="7942" max="7942" width="19.625" style="221" customWidth="1"/>
    <col min="7943" max="7943" width="9.875" style="221" customWidth="1"/>
    <col min="7944" max="7944" width="12.75" style="221" customWidth="1"/>
    <col min="7945" max="7946" width="14.875" style="221" customWidth="1"/>
    <col min="7947" max="7947" width="12.75" style="221" customWidth="1"/>
    <col min="7948" max="7948" width="10" style="221" customWidth="1"/>
    <col min="7949" max="7949" width="9.5" style="221" customWidth="1"/>
    <col min="7950" max="7950" width="9" style="221"/>
    <col min="7951" max="7952" width="7.25" style="221" customWidth="1"/>
    <col min="7953" max="7953" width="9.25" style="221" customWidth="1"/>
    <col min="7954" max="7954" width="8.75" style="221" customWidth="1"/>
    <col min="7955" max="7955" width="8.375" style="221" customWidth="1"/>
    <col min="7956" max="8192" width="9" style="221"/>
    <col min="8193" max="8193" width="14.875" style="221" customWidth="1"/>
    <col min="8194" max="8194" width="11.875" style="221" bestFit="1" customWidth="1"/>
    <col min="8195" max="8195" width="13.875" style="221" customWidth="1"/>
    <col min="8196" max="8197" width="21.875" style="221" customWidth="1"/>
    <col min="8198" max="8198" width="19.625" style="221" customWidth="1"/>
    <col min="8199" max="8199" width="9.875" style="221" customWidth="1"/>
    <col min="8200" max="8200" width="12.75" style="221" customWidth="1"/>
    <col min="8201" max="8202" width="14.875" style="221" customWidth="1"/>
    <col min="8203" max="8203" width="12.75" style="221" customWidth="1"/>
    <col min="8204" max="8204" width="10" style="221" customWidth="1"/>
    <col min="8205" max="8205" width="9.5" style="221" customWidth="1"/>
    <col min="8206" max="8206" width="9" style="221"/>
    <col min="8207" max="8208" width="7.25" style="221" customWidth="1"/>
    <col min="8209" max="8209" width="9.25" style="221" customWidth="1"/>
    <col min="8210" max="8210" width="8.75" style="221" customWidth="1"/>
    <col min="8211" max="8211" width="8.375" style="221" customWidth="1"/>
    <col min="8212" max="8448" width="9" style="221"/>
    <col min="8449" max="8449" width="14.875" style="221" customWidth="1"/>
    <col min="8450" max="8450" width="11.875" style="221" bestFit="1" customWidth="1"/>
    <col min="8451" max="8451" width="13.875" style="221" customWidth="1"/>
    <col min="8452" max="8453" width="21.875" style="221" customWidth="1"/>
    <col min="8454" max="8454" width="19.625" style="221" customWidth="1"/>
    <col min="8455" max="8455" width="9.875" style="221" customWidth="1"/>
    <col min="8456" max="8456" width="12.75" style="221" customWidth="1"/>
    <col min="8457" max="8458" width="14.875" style="221" customWidth="1"/>
    <col min="8459" max="8459" width="12.75" style="221" customWidth="1"/>
    <col min="8460" max="8460" width="10" style="221" customWidth="1"/>
    <col min="8461" max="8461" width="9.5" style="221" customWidth="1"/>
    <col min="8462" max="8462" width="9" style="221"/>
    <col min="8463" max="8464" width="7.25" style="221" customWidth="1"/>
    <col min="8465" max="8465" width="9.25" style="221" customWidth="1"/>
    <col min="8466" max="8466" width="8.75" style="221" customWidth="1"/>
    <col min="8467" max="8467" width="8.375" style="221" customWidth="1"/>
    <col min="8468" max="8704" width="9" style="221"/>
    <col min="8705" max="8705" width="14.875" style="221" customWidth="1"/>
    <col min="8706" max="8706" width="11.875" style="221" bestFit="1" customWidth="1"/>
    <col min="8707" max="8707" width="13.875" style="221" customWidth="1"/>
    <col min="8708" max="8709" width="21.875" style="221" customWidth="1"/>
    <col min="8710" max="8710" width="19.625" style="221" customWidth="1"/>
    <col min="8711" max="8711" width="9.875" style="221" customWidth="1"/>
    <col min="8712" max="8712" width="12.75" style="221" customWidth="1"/>
    <col min="8713" max="8714" width="14.875" style="221" customWidth="1"/>
    <col min="8715" max="8715" width="12.75" style="221" customWidth="1"/>
    <col min="8716" max="8716" width="10" style="221" customWidth="1"/>
    <col min="8717" max="8717" width="9.5" style="221" customWidth="1"/>
    <col min="8718" max="8718" width="9" style="221"/>
    <col min="8719" max="8720" width="7.25" style="221" customWidth="1"/>
    <col min="8721" max="8721" width="9.25" style="221" customWidth="1"/>
    <col min="8722" max="8722" width="8.75" style="221" customWidth="1"/>
    <col min="8723" max="8723" width="8.375" style="221" customWidth="1"/>
    <col min="8724" max="8960" width="9" style="221"/>
    <col min="8961" max="8961" width="14.875" style="221" customWidth="1"/>
    <col min="8962" max="8962" width="11.875" style="221" bestFit="1" customWidth="1"/>
    <col min="8963" max="8963" width="13.875" style="221" customWidth="1"/>
    <col min="8964" max="8965" width="21.875" style="221" customWidth="1"/>
    <col min="8966" max="8966" width="19.625" style="221" customWidth="1"/>
    <col min="8967" max="8967" width="9.875" style="221" customWidth="1"/>
    <col min="8968" max="8968" width="12.75" style="221" customWidth="1"/>
    <col min="8969" max="8970" width="14.875" style="221" customWidth="1"/>
    <col min="8971" max="8971" width="12.75" style="221" customWidth="1"/>
    <col min="8972" max="8972" width="10" style="221" customWidth="1"/>
    <col min="8973" max="8973" width="9.5" style="221" customWidth="1"/>
    <col min="8974" max="8974" width="9" style="221"/>
    <col min="8975" max="8976" width="7.25" style="221" customWidth="1"/>
    <col min="8977" max="8977" width="9.25" style="221" customWidth="1"/>
    <col min="8978" max="8978" width="8.75" style="221" customWidth="1"/>
    <col min="8979" max="8979" width="8.375" style="221" customWidth="1"/>
    <col min="8980" max="9216" width="9" style="221"/>
    <col min="9217" max="9217" width="14.875" style="221" customWidth="1"/>
    <col min="9218" max="9218" width="11.875" style="221" bestFit="1" customWidth="1"/>
    <col min="9219" max="9219" width="13.875" style="221" customWidth="1"/>
    <col min="9220" max="9221" width="21.875" style="221" customWidth="1"/>
    <col min="9222" max="9222" width="19.625" style="221" customWidth="1"/>
    <col min="9223" max="9223" width="9.875" style="221" customWidth="1"/>
    <col min="9224" max="9224" width="12.75" style="221" customWidth="1"/>
    <col min="9225" max="9226" width="14.875" style="221" customWidth="1"/>
    <col min="9227" max="9227" width="12.75" style="221" customWidth="1"/>
    <col min="9228" max="9228" width="10" style="221" customWidth="1"/>
    <col min="9229" max="9229" width="9.5" style="221" customWidth="1"/>
    <col min="9230" max="9230" width="9" style="221"/>
    <col min="9231" max="9232" width="7.25" style="221" customWidth="1"/>
    <col min="9233" max="9233" width="9.25" style="221" customWidth="1"/>
    <col min="9234" max="9234" width="8.75" style="221" customWidth="1"/>
    <col min="9235" max="9235" width="8.375" style="221" customWidth="1"/>
    <col min="9236" max="9472" width="9" style="221"/>
    <col min="9473" max="9473" width="14.875" style="221" customWidth="1"/>
    <col min="9474" max="9474" width="11.875" style="221" bestFit="1" customWidth="1"/>
    <col min="9475" max="9475" width="13.875" style="221" customWidth="1"/>
    <col min="9476" max="9477" width="21.875" style="221" customWidth="1"/>
    <col min="9478" max="9478" width="19.625" style="221" customWidth="1"/>
    <col min="9479" max="9479" width="9.875" style="221" customWidth="1"/>
    <col min="9480" max="9480" width="12.75" style="221" customWidth="1"/>
    <col min="9481" max="9482" width="14.875" style="221" customWidth="1"/>
    <col min="9483" max="9483" width="12.75" style="221" customWidth="1"/>
    <col min="9484" max="9484" width="10" style="221" customWidth="1"/>
    <col min="9485" max="9485" width="9.5" style="221" customWidth="1"/>
    <col min="9486" max="9486" width="9" style="221"/>
    <col min="9487" max="9488" width="7.25" style="221" customWidth="1"/>
    <col min="9489" max="9489" width="9.25" style="221" customWidth="1"/>
    <col min="9490" max="9490" width="8.75" style="221" customWidth="1"/>
    <col min="9491" max="9491" width="8.375" style="221" customWidth="1"/>
    <col min="9492" max="9728" width="9" style="221"/>
    <col min="9729" max="9729" width="14.875" style="221" customWidth="1"/>
    <col min="9730" max="9730" width="11.875" style="221" bestFit="1" customWidth="1"/>
    <col min="9731" max="9731" width="13.875" style="221" customWidth="1"/>
    <col min="9732" max="9733" width="21.875" style="221" customWidth="1"/>
    <col min="9734" max="9734" width="19.625" style="221" customWidth="1"/>
    <col min="9735" max="9735" width="9.875" style="221" customWidth="1"/>
    <col min="9736" max="9736" width="12.75" style="221" customWidth="1"/>
    <col min="9737" max="9738" width="14.875" style="221" customWidth="1"/>
    <col min="9739" max="9739" width="12.75" style="221" customWidth="1"/>
    <col min="9740" max="9740" width="10" style="221" customWidth="1"/>
    <col min="9741" max="9741" width="9.5" style="221" customWidth="1"/>
    <col min="9742" max="9742" width="9" style="221"/>
    <col min="9743" max="9744" width="7.25" style="221" customWidth="1"/>
    <col min="9745" max="9745" width="9.25" style="221" customWidth="1"/>
    <col min="9746" max="9746" width="8.75" style="221" customWidth="1"/>
    <col min="9747" max="9747" width="8.375" style="221" customWidth="1"/>
    <col min="9748" max="9984" width="9" style="221"/>
    <col min="9985" max="9985" width="14.875" style="221" customWidth="1"/>
    <col min="9986" max="9986" width="11.875" style="221" bestFit="1" customWidth="1"/>
    <col min="9987" max="9987" width="13.875" style="221" customWidth="1"/>
    <col min="9988" max="9989" width="21.875" style="221" customWidth="1"/>
    <col min="9990" max="9990" width="19.625" style="221" customWidth="1"/>
    <col min="9991" max="9991" width="9.875" style="221" customWidth="1"/>
    <col min="9992" max="9992" width="12.75" style="221" customWidth="1"/>
    <col min="9993" max="9994" width="14.875" style="221" customWidth="1"/>
    <col min="9995" max="9995" width="12.75" style="221" customWidth="1"/>
    <col min="9996" max="9996" width="10" style="221" customWidth="1"/>
    <col min="9997" max="9997" width="9.5" style="221" customWidth="1"/>
    <col min="9998" max="9998" width="9" style="221"/>
    <col min="9999" max="10000" width="7.25" style="221" customWidth="1"/>
    <col min="10001" max="10001" width="9.25" style="221" customWidth="1"/>
    <col min="10002" max="10002" width="8.75" style="221" customWidth="1"/>
    <col min="10003" max="10003" width="8.375" style="221" customWidth="1"/>
    <col min="10004" max="10240" width="9" style="221"/>
    <col min="10241" max="10241" width="14.875" style="221" customWidth="1"/>
    <col min="10242" max="10242" width="11.875" style="221" bestFit="1" customWidth="1"/>
    <col min="10243" max="10243" width="13.875" style="221" customWidth="1"/>
    <col min="10244" max="10245" width="21.875" style="221" customWidth="1"/>
    <col min="10246" max="10246" width="19.625" style="221" customWidth="1"/>
    <col min="10247" max="10247" width="9.875" style="221" customWidth="1"/>
    <col min="10248" max="10248" width="12.75" style="221" customWidth="1"/>
    <col min="10249" max="10250" width="14.875" style="221" customWidth="1"/>
    <col min="10251" max="10251" width="12.75" style="221" customWidth="1"/>
    <col min="10252" max="10252" width="10" style="221" customWidth="1"/>
    <col min="10253" max="10253" width="9.5" style="221" customWidth="1"/>
    <col min="10254" max="10254" width="9" style="221"/>
    <col min="10255" max="10256" width="7.25" style="221" customWidth="1"/>
    <col min="10257" max="10257" width="9.25" style="221" customWidth="1"/>
    <col min="10258" max="10258" width="8.75" style="221" customWidth="1"/>
    <col min="10259" max="10259" width="8.375" style="221" customWidth="1"/>
    <col min="10260" max="10496" width="9" style="221"/>
    <col min="10497" max="10497" width="14.875" style="221" customWidth="1"/>
    <col min="10498" max="10498" width="11.875" style="221" bestFit="1" customWidth="1"/>
    <col min="10499" max="10499" width="13.875" style="221" customWidth="1"/>
    <col min="10500" max="10501" width="21.875" style="221" customWidth="1"/>
    <col min="10502" max="10502" width="19.625" style="221" customWidth="1"/>
    <col min="10503" max="10503" width="9.875" style="221" customWidth="1"/>
    <col min="10504" max="10504" width="12.75" style="221" customWidth="1"/>
    <col min="10505" max="10506" width="14.875" style="221" customWidth="1"/>
    <col min="10507" max="10507" width="12.75" style="221" customWidth="1"/>
    <col min="10508" max="10508" width="10" style="221" customWidth="1"/>
    <col min="10509" max="10509" width="9.5" style="221" customWidth="1"/>
    <col min="10510" max="10510" width="9" style="221"/>
    <col min="10511" max="10512" width="7.25" style="221" customWidth="1"/>
    <col min="10513" max="10513" width="9.25" style="221" customWidth="1"/>
    <col min="10514" max="10514" width="8.75" style="221" customWidth="1"/>
    <col min="10515" max="10515" width="8.375" style="221" customWidth="1"/>
    <col min="10516" max="10752" width="9" style="221"/>
    <col min="10753" max="10753" width="14.875" style="221" customWidth="1"/>
    <col min="10754" max="10754" width="11.875" style="221" bestFit="1" customWidth="1"/>
    <col min="10755" max="10755" width="13.875" style="221" customWidth="1"/>
    <col min="10756" max="10757" width="21.875" style="221" customWidth="1"/>
    <col min="10758" max="10758" width="19.625" style="221" customWidth="1"/>
    <col min="10759" max="10759" width="9.875" style="221" customWidth="1"/>
    <col min="10760" max="10760" width="12.75" style="221" customWidth="1"/>
    <col min="10761" max="10762" width="14.875" style="221" customWidth="1"/>
    <col min="10763" max="10763" width="12.75" style="221" customWidth="1"/>
    <col min="10764" max="10764" width="10" style="221" customWidth="1"/>
    <col min="10765" max="10765" width="9.5" style="221" customWidth="1"/>
    <col min="10766" max="10766" width="9" style="221"/>
    <col min="10767" max="10768" width="7.25" style="221" customWidth="1"/>
    <col min="10769" max="10769" width="9.25" style="221" customWidth="1"/>
    <col min="10770" max="10770" width="8.75" style="221" customWidth="1"/>
    <col min="10771" max="10771" width="8.375" style="221" customWidth="1"/>
    <col min="10772" max="11008" width="9" style="221"/>
    <col min="11009" max="11009" width="14.875" style="221" customWidth="1"/>
    <col min="11010" max="11010" width="11.875" style="221" bestFit="1" customWidth="1"/>
    <col min="11011" max="11011" width="13.875" style="221" customWidth="1"/>
    <col min="11012" max="11013" width="21.875" style="221" customWidth="1"/>
    <col min="11014" max="11014" width="19.625" style="221" customWidth="1"/>
    <col min="11015" max="11015" width="9.875" style="221" customWidth="1"/>
    <col min="11016" max="11016" width="12.75" style="221" customWidth="1"/>
    <col min="11017" max="11018" width="14.875" style="221" customWidth="1"/>
    <col min="11019" max="11019" width="12.75" style="221" customWidth="1"/>
    <col min="11020" max="11020" width="10" style="221" customWidth="1"/>
    <col min="11021" max="11021" width="9.5" style="221" customWidth="1"/>
    <col min="11022" max="11022" width="9" style="221"/>
    <col min="11023" max="11024" width="7.25" style="221" customWidth="1"/>
    <col min="11025" max="11025" width="9.25" style="221" customWidth="1"/>
    <col min="11026" max="11026" width="8.75" style="221" customWidth="1"/>
    <col min="11027" max="11027" width="8.375" style="221" customWidth="1"/>
    <col min="11028" max="11264" width="9" style="221"/>
    <col min="11265" max="11265" width="14.875" style="221" customWidth="1"/>
    <col min="11266" max="11266" width="11.875" style="221" bestFit="1" customWidth="1"/>
    <col min="11267" max="11267" width="13.875" style="221" customWidth="1"/>
    <col min="11268" max="11269" width="21.875" style="221" customWidth="1"/>
    <col min="11270" max="11270" width="19.625" style="221" customWidth="1"/>
    <col min="11271" max="11271" width="9.875" style="221" customWidth="1"/>
    <col min="11272" max="11272" width="12.75" style="221" customWidth="1"/>
    <col min="11273" max="11274" width="14.875" style="221" customWidth="1"/>
    <col min="11275" max="11275" width="12.75" style="221" customWidth="1"/>
    <col min="11276" max="11276" width="10" style="221" customWidth="1"/>
    <col min="11277" max="11277" width="9.5" style="221" customWidth="1"/>
    <col min="11278" max="11278" width="9" style="221"/>
    <col min="11279" max="11280" width="7.25" style="221" customWidth="1"/>
    <col min="11281" max="11281" width="9.25" style="221" customWidth="1"/>
    <col min="11282" max="11282" width="8.75" style="221" customWidth="1"/>
    <col min="11283" max="11283" width="8.375" style="221" customWidth="1"/>
    <col min="11284" max="11520" width="9" style="221"/>
    <col min="11521" max="11521" width="14.875" style="221" customWidth="1"/>
    <col min="11522" max="11522" width="11.875" style="221" bestFit="1" customWidth="1"/>
    <col min="11523" max="11523" width="13.875" style="221" customWidth="1"/>
    <col min="11524" max="11525" width="21.875" style="221" customWidth="1"/>
    <col min="11526" max="11526" width="19.625" style="221" customWidth="1"/>
    <col min="11527" max="11527" width="9.875" style="221" customWidth="1"/>
    <col min="11528" max="11528" width="12.75" style="221" customWidth="1"/>
    <col min="11529" max="11530" width="14.875" style="221" customWidth="1"/>
    <col min="11531" max="11531" width="12.75" style="221" customWidth="1"/>
    <col min="11532" max="11532" width="10" style="221" customWidth="1"/>
    <col min="11533" max="11533" width="9.5" style="221" customWidth="1"/>
    <col min="11534" max="11534" width="9" style="221"/>
    <col min="11535" max="11536" width="7.25" style="221" customWidth="1"/>
    <col min="11537" max="11537" width="9.25" style="221" customWidth="1"/>
    <col min="11538" max="11538" width="8.75" style="221" customWidth="1"/>
    <col min="11539" max="11539" width="8.375" style="221" customWidth="1"/>
    <col min="11540" max="11776" width="9" style="221"/>
    <col min="11777" max="11777" width="14.875" style="221" customWidth="1"/>
    <col min="11778" max="11778" width="11.875" style="221" bestFit="1" customWidth="1"/>
    <col min="11779" max="11779" width="13.875" style="221" customWidth="1"/>
    <col min="11780" max="11781" width="21.875" style="221" customWidth="1"/>
    <col min="11782" max="11782" width="19.625" style="221" customWidth="1"/>
    <col min="11783" max="11783" width="9.875" style="221" customWidth="1"/>
    <col min="11784" max="11784" width="12.75" style="221" customWidth="1"/>
    <col min="11785" max="11786" width="14.875" style="221" customWidth="1"/>
    <col min="11787" max="11787" width="12.75" style="221" customWidth="1"/>
    <col min="11788" max="11788" width="10" style="221" customWidth="1"/>
    <col min="11789" max="11789" width="9.5" style="221" customWidth="1"/>
    <col min="11790" max="11790" width="9" style="221"/>
    <col min="11791" max="11792" width="7.25" style="221" customWidth="1"/>
    <col min="11793" max="11793" width="9.25" style="221" customWidth="1"/>
    <col min="11794" max="11794" width="8.75" style="221" customWidth="1"/>
    <col min="11795" max="11795" width="8.375" style="221" customWidth="1"/>
    <col min="11796" max="12032" width="9" style="221"/>
    <col min="12033" max="12033" width="14.875" style="221" customWidth="1"/>
    <col min="12034" max="12034" width="11.875" style="221" bestFit="1" customWidth="1"/>
    <col min="12035" max="12035" width="13.875" style="221" customWidth="1"/>
    <col min="12036" max="12037" width="21.875" style="221" customWidth="1"/>
    <col min="12038" max="12038" width="19.625" style="221" customWidth="1"/>
    <col min="12039" max="12039" width="9.875" style="221" customWidth="1"/>
    <col min="12040" max="12040" width="12.75" style="221" customWidth="1"/>
    <col min="12041" max="12042" width="14.875" style="221" customWidth="1"/>
    <col min="12043" max="12043" width="12.75" style="221" customWidth="1"/>
    <col min="12044" max="12044" width="10" style="221" customWidth="1"/>
    <col min="12045" max="12045" width="9.5" style="221" customWidth="1"/>
    <col min="12046" max="12046" width="9" style="221"/>
    <col min="12047" max="12048" width="7.25" style="221" customWidth="1"/>
    <col min="12049" max="12049" width="9.25" style="221" customWidth="1"/>
    <col min="12050" max="12050" width="8.75" style="221" customWidth="1"/>
    <col min="12051" max="12051" width="8.375" style="221" customWidth="1"/>
    <col min="12052" max="12288" width="9" style="221"/>
    <col min="12289" max="12289" width="14.875" style="221" customWidth="1"/>
    <col min="12290" max="12290" width="11.875" style="221" bestFit="1" customWidth="1"/>
    <col min="12291" max="12291" width="13.875" style="221" customWidth="1"/>
    <col min="12292" max="12293" width="21.875" style="221" customWidth="1"/>
    <col min="12294" max="12294" width="19.625" style="221" customWidth="1"/>
    <col min="12295" max="12295" width="9.875" style="221" customWidth="1"/>
    <col min="12296" max="12296" width="12.75" style="221" customWidth="1"/>
    <col min="12297" max="12298" width="14.875" style="221" customWidth="1"/>
    <col min="12299" max="12299" width="12.75" style="221" customWidth="1"/>
    <col min="12300" max="12300" width="10" style="221" customWidth="1"/>
    <col min="12301" max="12301" width="9.5" style="221" customWidth="1"/>
    <col min="12302" max="12302" width="9" style="221"/>
    <col min="12303" max="12304" width="7.25" style="221" customWidth="1"/>
    <col min="12305" max="12305" width="9.25" style="221" customWidth="1"/>
    <col min="12306" max="12306" width="8.75" style="221" customWidth="1"/>
    <col min="12307" max="12307" width="8.375" style="221" customWidth="1"/>
    <col min="12308" max="12544" width="9" style="221"/>
    <col min="12545" max="12545" width="14.875" style="221" customWidth="1"/>
    <col min="12546" max="12546" width="11.875" style="221" bestFit="1" customWidth="1"/>
    <col min="12547" max="12547" width="13.875" style="221" customWidth="1"/>
    <col min="12548" max="12549" width="21.875" style="221" customWidth="1"/>
    <col min="12550" max="12550" width="19.625" style="221" customWidth="1"/>
    <col min="12551" max="12551" width="9.875" style="221" customWidth="1"/>
    <col min="12552" max="12552" width="12.75" style="221" customWidth="1"/>
    <col min="12553" max="12554" width="14.875" style="221" customWidth="1"/>
    <col min="12555" max="12555" width="12.75" style="221" customWidth="1"/>
    <col min="12556" max="12556" width="10" style="221" customWidth="1"/>
    <col min="12557" max="12557" width="9.5" style="221" customWidth="1"/>
    <col min="12558" max="12558" width="9" style="221"/>
    <col min="12559" max="12560" width="7.25" style="221" customWidth="1"/>
    <col min="12561" max="12561" width="9.25" style="221" customWidth="1"/>
    <col min="12562" max="12562" width="8.75" style="221" customWidth="1"/>
    <col min="12563" max="12563" width="8.375" style="221" customWidth="1"/>
    <col min="12564" max="12800" width="9" style="221"/>
    <col min="12801" max="12801" width="14.875" style="221" customWidth="1"/>
    <col min="12802" max="12802" width="11.875" style="221" bestFit="1" customWidth="1"/>
    <col min="12803" max="12803" width="13.875" style="221" customWidth="1"/>
    <col min="12804" max="12805" width="21.875" style="221" customWidth="1"/>
    <col min="12806" max="12806" width="19.625" style="221" customWidth="1"/>
    <col min="12807" max="12807" width="9.875" style="221" customWidth="1"/>
    <col min="12808" max="12808" width="12.75" style="221" customWidth="1"/>
    <col min="12809" max="12810" width="14.875" style="221" customWidth="1"/>
    <col min="12811" max="12811" width="12.75" style="221" customWidth="1"/>
    <col min="12812" max="12812" width="10" style="221" customWidth="1"/>
    <col min="12813" max="12813" width="9.5" style="221" customWidth="1"/>
    <col min="12814" max="12814" width="9" style="221"/>
    <col min="12815" max="12816" width="7.25" style="221" customWidth="1"/>
    <col min="12817" max="12817" width="9.25" style="221" customWidth="1"/>
    <col min="12818" max="12818" width="8.75" style="221" customWidth="1"/>
    <col min="12819" max="12819" width="8.375" style="221" customWidth="1"/>
    <col min="12820" max="13056" width="9" style="221"/>
    <col min="13057" max="13057" width="14.875" style="221" customWidth="1"/>
    <col min="13058" max="13058" width="11.875" style="221" bestFit="1" customWidth="1"/>
    <col min="13059" max="13059" width="13.875" style="221" customWidth="1"/>
    <col min="13060" max="13061" width="21.875" style="221" customWidth="1"/>
    <col min="13062" max="13062" width="19.625" style="221" customWidth="1"/>
    <col min="13063" max="13063" width="9.875" style="221" customWidth="1"/>
    <col min="13064" max="13064" width="12.75" style="221" customWidth="1"/>
    <col min="13065" max="13066" width="14.875" style="221" customWidth="1"/>
    <col min="13067" max="13067" width="12.75" style="221" customWidth="1"/>
    <col min="13068" max="13068" width="10" style="221" customWidth="1"/>
    <col min="13069" max="13069" width="9.5" style="221" customWidth="1"/>
    <col min="13070" max="13070" width="9" style="221"/>
    <col min="13071" max="13072" width="7.25" style="221" customWidth="1"/>
    <col min="13073" max="13073" width="9.25" style="221" customWidth="1"/>
    <col min="13074" max="13074" width="8.75" style="221" customWidth="1"/>
    <col min="13075" max="13075" width="8.375" style="221" customWidth="1"/>
    <col min="13076" max="13312" width="9" style="221"/>
    <col min="13313" max="13313" width="14.875" style="221" customWidth="1"/>
    <col min="13314" max="13314" width="11.875" style="221" bestFit="1" customWidth="1"/>
    <col min="13315" max="13315" width="13.875" style="221" customWidth="1"/>
    <col min="13316" max="13317" width="21.875" style="221" customWidth="1"/>
    <col min="13318" max="13318" width="19.625" style="221" customWidth="1"/>
    <col min="13319" max="13319" width="9.875" style="221" customWidth="1"/>
    <col min="13320" max="13320" width="12.75" style="221" customWidth="1"/>
    <col min="13321" max="13322" width="14.875" style="221" customWidth="1"/>
    <col min="13323" max="13323" width="12.75" style="221" customWidth="1"/>
    <col min="13324" max="13324" width="10" style="221" customWidth="1"/>
    <col min="13325" max="13325" width="9.5" style="221" customWidth="1"/>
    <col min="13326" max="13326" width="9" style="221"/>
    <col min="13327" max="13328" width="7.25" style="221" customWidth="1"/>
    <col min="13329" max="13329" width="9.25" style="221" customWidth="1"/>
    <col min="13330" max="13330" width="8.75" style="221" customWidth="1"/>
    <col min="13331" max="13331" width="8.375" style="221" customWidth="1"/>
    <col min="13332" max="13568" width="9" style="221"/>
    <col min="13569" max="13569" width="14.875" style="221" customWidth="1"/>
    <col min="13570" max="13570" width="11.875" style="221" bestFit="1" customWidth="1"/>
    <col min="13571" max="13571" width="13.875" style="221" customWidth="1"/>
    <col min="13572" max="13573" width="21.875" style="221" customWidth="1"/>
    <col min="13574" max="13574" width="19.625" style="221" customWidth="1"/>
    <col min="13575" max="13575" width="9.875" style="221" customWidth="1"/>
    <col min="13576" max="13576" width="12.75" style="221" customWidth="1"/>
    <col min="13577" max="13578" width="14.875" style="221" customWidth="1"/>
    <col min="13579" max="13579" width="12.75" style="221" customWidth="1"/>
    <col min="13580" max="13580" width="10" style="221" customWidth="1"/>
    <col min="13581" max="13581" width="9.5" style="221" customWidth="1"/>
    <col min="13582" max="13582" width="9" style="221"/>
    <col min="13583" max="13584" width="7.25" style="221" customWidth="1"/>
    <col min="13585" max="13585" width="9.25" style="221" customWidth="1"/>
    <col min="13586" max="13586" width="8.75" style="221" customWidth="1"/>
    <col min="13587" max="13587" width="8.375" style="221" customWidth="1"/>
    <col min="13588" max="13824" width="9" style="221"/>
    <col min="13825" max="13825" width="14.875" style="221" customWidth="1"/>
    <col min="13826" max="13826" width="11.875" style="221" bestFit="1" customWidth="1"/>
    <col min="13827" max="13827" width="13.875" style="221" customWidth="1"/>
    <col min="13828" max="13829" width="21.875" style="221" customWidth="1"/>
    <col min="13830" max="13830" width="19.625" style="221" customWidth="1"/>
    <col min="13831" max="13831" width="9.875" style="221" customWidth="1"/>
    <col min="13832" max="13832" width="12.75" style="221" customWidth="1"/>
    <col min="13833" max="13834" width="14.875" style="221" customWidth="1"/>
    <col min="13835" max="13835" width="12.75" style="221" customWidth="1"/>
    <col min="13836" max="13836" width="10" style="221" customWidth="1"/>
    <col min="13837" max="13837" width="9.5" style="221" customWidth="1"/>
    <col min="13838" max="13838" width="9" style="221"/>
    <col min="13839" max="13840" width="7.25" style="221" customWidth="1"/>
    <col min="13841" max="13841" width="9.25" style="221" customWidth="1"/>
    <col min="13842" max="13842" width="8.75" style="221" customWidth="1"/>
    <col min="13843" max="13843" width="8.375" style="221" customWidth="1"/>
    <col min="13844" max="14080" width="9" style="221"/>
    <col min="14081" max="14081" width="14.875" style="221" customWidth="1"/>
    <col min="14082" max="14082" width="11.875" style="221" bestFit="1" customWidth="1"/>
    <col min="14083" max="14083" width="13.875" style="221" customWidth="1"/>
    <col min="14084" max="14085" width="21.875" style="221" customWidth="1"/>
    <col min="14086" max="14086" width="19.625" style="221" customWidth="1"/>
    <col min="14087" max="14087" width="9.875" style="221" customWidth="1"/>
    <col min="14088" max="14088" width="12.75" style="221" customWidth="1"/>
    <col min="14089" max="14090" width="14.875" style="221" customWidth="1"/>
    <col min="14091" max="14091" width="12.75" style="221" customWidth="1"/>
    <col min="14092" max="14092" width="10" style="221" customWidth="1"/>
    <col min="14093" max="14093" width="9.5" style="221" customWidth="1"/>
    <col min="14094" max="14094" width="9" style="221"/>
    <col min="14095" max="14096" width="7.25" style="221" customWidth="1"/>
    <col min="14097" max="14097" width="9.25" style="221" customWidth="1"/>
    <col min="14098" max="14098" width="8.75" style="221" customWidth="1"/>
    <col min="14099" max="14099" width="8.375" style="221" customWidth="1"/>
    <col min="14100" max="14336" width="9" style="221"/>
    <col min="14337" max="14337" width="14.875" style="221" customWidth="1"/>
    <col min="14338" max="14338" width="11.875" style="221" bestFit="1" customWidth="1"/>
    <col min="14339" max="14339" width="13.875" style="221" customWidth="1"/>
    <col min="14340" max="14341" width="21.875" style="221" customWidth="1"/>
    <col min="14342" max="14342" width="19.625" style="221" customWidth="1"/>
    <col min="14343" max="14343" width="9.875" style="221" customWidth="1"/>
    <col min="14344" max="14344" width="12.75" style="221" customWidth="1"/>
    <col min="14345" max="14346" width="14.875" style="221" customWidth="1"/>
    <col min="14347" max="14347" width="12.75" style="221" customWidth="1"/>
    <col min="14348" max="14348" width="10" style="221" customWidth="1"/>
    <col min="14349" max="14349" width="9.5" style="221" customWidth="1"/>
    <col min="14350" max="14350" width="9" style="221"/>
    <col min="14351" max="14352" width="7.25" style="221" customWidth="1"/>
    <col min="14353" max="14353" width="9.25" style="221" customWidth="1"/>
    <col min="14354" max="14354" width="8.75" style="221" customWidth="1"/>
    <col min="14355" max="14355" width="8.375" style="221" customWidth="1"/>
    <col min="14356" max="14592" width="9" style="221"/>
    <col min="14593" max="14593" width="14.875" style="221" customWidth="1"/>
    <col min="14594" max="14594" width="11.875" style="221" bestFit="1" customWidth="1"/>
    <col min="14595" max="14595" width="13.875" style="221" customWidth="1"/>
    <col min="14596" max="14597" width="21.875" style="221" customWidth="1"/>
    <col min="14598" max="14598" width="19.625" style="221" customWidth="1"/>
    <col min="14599" max="14599" width="9.875" style="221" customWidth="1"/>
    <col min="14600" max="14600" width="12.75" style="221" customWidth="1"/>
    <col min="14601" max="14602" width="14.875" style="221" customWidth="1"/>
    <col min="14603" max="14603" width="12.75" style="221" customWidth="1"/>
    <col min="14604" max="14604" width="10" style="221" customWidth="1"/>
    <col min="14605" max="14605" width="9.5" style="221" customWidth="1"/>
    <col min="14606" max="14606" width="9" style="221"/>
    <col min="14607" max="14608" width="7.25" style="221" customWidth="1"/>
    <col min="14609" max="14609" width="9.25" style="221" customWidth="1"/>
    <col min="14610" max="14610" width="8.75" style="221" customWidth="1"/>
    <col min="14611" max="14611" width="8.375" style="221" customWidth="1"/>
    <col min="14612" max="14848" width="9" style="221"/>
    <col min="14849" max="14849" width="14.875" style="221" customWidth="1"/>
    <col min="14850" max="14850" width="11.875" style="221" bestFit="1" customWidth="1"/>
    <col min="14851" max="14851" width="13.875" style="221" customWidth="1"/>
    <col min="14852" max="14853" width="21.875" style="221" customWidth="1"/>
    <col min="14854" max="14854" width="19.625" style="221" customWidth="1"/>
    <col min="14855" max="14855" width="9.875" style="221" customWidth="1"/>
    <col min="14856" max="14856" width="12.75" style="221" customWidth="1"/>
    <col min="14857" max="14858" width="14.875" style="221" customWidth="1"/>
    <col min="14859" max="14859" width="12.75" style="221" customWidth="1"/>
    <col min="14860" max="14860" width="10" style="221" customWidth="1"/>
    <col min="14861" max="14861" width="9.5" style="221" customWidth="1"/>
    <col min="14862" max="14862" width="9" style="221"/>
    <col min="14863" max="14864" width="7.25" style="221" customWidth="1"/>
    <col min="14865" max="14865" width="9.25" style="221" customWidth="1"/>
    <col min="14866" max="14866" width="8.75" style="221" customWidth="1"/>
    <col min="14867" max="14867" width="8.375" style="221" customWidth="1"/>
    <col min="14868" max="15104" width="9" style="221"/>
    <col min="15105" max="15105" width="14.875" style="221" customWidth="1"/>
    <col min="15106" max="15106" width="11.875" style="221" bestFit="1" customWidth="1"/>
    <col min="15107" max="15107" width="13.875" style="221" customWidth="1"/>
    <col min="15108" max="15109" width="21.875" style="221" customWidth="1"/>
    <col min="15110" max="15110" width="19.625" style="221" customWidth="1"/>
    <col min="15111" max="15111" width="9.875" style="221" customWidth="1"/>
    <col min="15112" max="15112" width="12.75" style="221" customWidth="1"/>
    <col min="15113" max="15114" width="14.875" style="221" customWidth="1"/>
    <col min="15115" max="15115" width="12.75" style="221" customWidth="1"/>
    <col min="15116" max="15116" width="10" style="221" customWidth="1"/>
    <col min="15117" max="15117" width="9.5" style="221" customWidth="1"/>
    <col min="15118" max="15118" width="9" style="221"/>
    <col min="15119" max="15120" width="7.25" style="221" customWidth="1"/>
    <col min="15121" max="15121" width="9.25" style="221" customWidth="1"/>
    <col min="15122" max="15122" width="8.75" style="221" customWidth="1"/>
    <col min="15123" max="15123" width="8.375" style="221" customWidth="1"/>
    <col min="15124" max="15360" width="9" style="221"/>
    <col min="15361" max="15361" width="14.875" style="221" customWidth="1"/>
    <col min="15362" max="15362" width="11.875" style="221" bestFit="1" customWidth="1"/>
    <col min="15363" max="15363" width="13.875" style="221" customWidth="1"/>
    <col min="15364" max="15365" width="21.875" style="221" customWidth="1"/>
    <col min="15366" max="15366" width="19.625" style="221" customWidth="1"/>
    <col min="15367" max="15367" width="9.875" style="221" customWidth="1"/>
    <col min="15368" max="15368" width="12.75" style="221" customWidth="1"/>
    <col min="15369" max="15370" width="14.875" style="221" customWidth="1"/>
    <col min="15371" max="15371" width="12.75" style="221" customWidth="1"/>
    <col min="15372" max="15372" width="10" style="221" customWidth="1"/>
    <col min="15373" max="15373" width="9.5" style="221" customWidth="1"/>
    <col min="15374" max="15374" width="9" style="221"/>
    <col min="15375" max="15376" width="7.25" style="221" customWidth="1"/>
    <col min="15377" max="15377" width="9.25" style="221" customWidth="1"/>
    <col min="15378" max="15378" width="8.75" style="221" customWidth="1"/>
    <col min="15379" max="15379" width="8.375" style="221" customWidth="1"/>
    <col min="15380" max="15616" width="9" style="221"/>
    <col min="15617" max="15617" width="14.875" style="221" customWidth="1"/>
    <col min="15618" max="15618" width="11.875" style="221" bestFit="1" customWidth="1"/>
    <col min="15619" max="15619" width="13.875" style="221" customWidth="1"/>
    <col min="15620" max="15621" width="21.875" style="221" customWidth="1"/>
    <col min="15622" max="15622" width="19.625" style="221" customWidth="1"/>
    <col min="15623" max="15623" width="9.875" style="221" customWidth="1"/>
    <col min="15624" max="15624" width="12.75" style="221" customWidth="1"/>
    <col min="15625" max="15626" width="14.875" style="221" customWidth="1"/>
    <col min="15627" max="15627" width="12.75" style="221" customWidth="1"/>
    <col min="15628" max="15628" width="10" style="221" customWidth="1"/>
    <col min="15629" max="15629" width="9.5" style="221" customWidth="1"/>
    <col min="15630" max="15630" width="9" style="221"/>
    <col min="15631" max="15632" width="7.25" style="221" customWidth="1"/>
    <col min="15633" max="15633" width="9.25" style="221" customWidth="1"/>
    <col min="15634" max="15634" width="8.75" style="221" customWidth="1"/>
    <col min="15635" max="15635" width="8.375" style="221" customWidth="1"/>
    <col min="15636" max="15872" width="9" style="221"/>
    <col min="15873" max="15873" width="14.875" style="221" customWidth="1"/>
    <col min="15874" max="15874" width="11.875" style="221" bestFit="1" customWidth="1"/>
    <col min="15875" max="15875" width="13.875" style="221" customWidth="1"/>
    <col min="15876" max="15877" width="21.875" style="221" customWidth="1"/>
    <col min="15878" max="15878" width="19.625" style="221" customWidth="1"/>
    <col min="15879" max="15879" width="9.875" style="221" customWidth="1"/>
    <col min="15880" max="15880" width="12.75" style="221" customWidth="1"/>
    <col min="15881" max="15882" width="14.875" style="221" customWidth="1"/>
    <col min="15883" max="15883" width="12.75" style="221" customWidth="1"/>
    <col min="15884" max="15884" width="10" style="221" customWidth="1"/>
    <col min="15885" max="15885" width="9.5" style="221" customWidth="1"/>
    <col min="15886" max="15886" width="9" style="221"/>
    <col min="15887" max="15888" width="7.25" style="221" customWidth="1"/>
    <col min="15889" max="15889" width="9.25" style="221" customWidth="1"/>
    <col min="15890" max="15890" width="8.75" style="221" customWidth="1"/>
    <col min="15891" max="15891" width="8.375" style="221" customWidth="1"/>
    <col min="15892" max="16128" width="9" style="221"/>
    <col min="16129" max="16129" width="14.875" style="221" customWidth="1"/>
    <col min="16130" max="16130" width="11.875" style="221" bestFit="1" customWidth="1"/>
    <col min="16131" max="16131" width="13.875" style="221" customWidth="1"/>
    <col min="16132" max="16133" width="21.875" style="221" customWidth="1"/>
    <col min="16134" max="16134" width="19.625" style="221" customWidth="1"/>
    <col min="16135" max="16135" width="9.875" style="221" customWidth="1"/>
    <col min="16136" max="16136" width="12.75" style="221" customWidth="1"/>
    <col min="16137" max="16138" width="14.875" style="221" customWidth="1"/>
    <col min="16139" max="16139" width="12.75" style="221" customWidth="1"/>
    <col min="16140" max="16140" width="10" style="221" customWidth="1"/>
    <col min="16141" max="16141" width="9.5" style="221" customWidth="1"/>
    <col min="16142" max="16142" width="9" style="221"/>
    <col min="16143" max="16144" width="7.25" style="221" customWidth="1"/>
    <col min="16145" max="16145" width="9.25" style="221" customWidth="1"/>
    <col min="16146" max="16146" width="8.75" style="221" customWidth="1"/>
    <col min="16147" max="16147" width="8.375" style="221" customWidth="1"/>
    <col min="16148" max="16384" width="9" style="221"/>
  </cols>
  <sheetData>
    <row r="1" spans="1:21" s="84" customFormat="1" ht="34.5" customHeight="1">
      <c r="A1" s="1211" t="s">
        <v>675</v>
      </c>
      <c r="B1" s="1211"/>
      <c r="C1" s="1211"/>
      <c r="D1" s="1211"/>
      <c r="E1" s="1211"/>
      <c r="F1" s="1211"/>
      <c r="G1" s="1211"/>
      <c r="H1" s="413"/>
      <c r="I1" s="413"/>
      <c r="J1" s="413"/>
    </row>
    <row r="2" spans="1:21" ht="23.25" customHeight="1">
      <c r="D2" s="414"/>
      <c r="E2" s="414"/>
      <c r="F2" s="414"/>
      <c r="H2" s="415" t="s">
        <v>676</v>
      </c>
      <c r="I2" s="415"/>
      <c r="J2" s="221"/>
      <c r="T2" s="416"/>
      <c r="U2" s="416"/>
    </row>
    <row r="3" spans="1:21" ht="135.75" customHeight="1">
      <c r="A3" s="417" t="s">
        <v>677</v>
      </c>
      <c r="B3" s="418" t="s">
        <v>678</v>
      </c>
      <c r="C3" s="418" t="s">
        <v>679</v>
      </c>
      <c r="D3" s="418" t="s">
        <v>680</v>
      </c>
      <c r="E3" s="418" t="s">
        <v>681</v>
      </c>
      <c r="F3" s="418" t="s">
        <v>682</v>
      </c>
      <c r="G3" s="418" t="s">
        <v>683</v>
      </c>
      <c r="H3" s="418" t="s">
        <v>684</v>
      </c>
      <c r="I3" s="419"/>
      <c r="J3" s="419"/>
    </row>
    <row r="4" spans="1:21" ht="139.9" customHeight="1">
      <c r="A4" s="420" t="s">
        <v>685</v>
      </c>
      <c r="B4" s="420" t="s">
        <v>686</v>
      </c>
      <c r="C4" s="421" t="s">
        <v>687</v>
      </c>
      <c r="D4" s="422">
        <v>10000000000</v>
      </c>
      <c r="E4" s="422">
        <v>20755090397</v>
      </c>
      <c r="F4" s="422">
        <v>10755090397</v>
      </c>
      <c r="G4" s="423">
        <v>140.1</v>
      </c>
      <c r="H4" s="423">
        <v>32.950000000000003</v>
      </c>
      <c r="I4" s="424"/>
      <c r="J4" s="424"/>
    </row>
    <row r="5" spans="1:21" ht="139.9" customHeight="1">
      <c r="A5" s="420" t="s">
        <v>688</v>
      </c>
      <c r="B5" s="425" t="s">
        <v>689</v>
      </c>
      <c r="C5" s="421" t="s">
        <v>687</v>
      </c>
      <c r="D5" s="422">
        <v>10000000000</v>
      </c>
      <c r="E5" s="422">
        <v>17243117957</v>
      </c>
      <c r="F5" s="422">
        <v>7243117957</v>
      </c>
      <c r="G5" s="423">
        <v>74.819999999999993</v>
      </c>
      <c r="H5" s="423">
        <v>36.369999999999997</v>
      </c>
      <c r="I5" s="424"/>
      <c r="J5" s="424"/>
    </row>
    <row r="6" spans="1:21" ht="139.9" customHeight="1">
      <c r="A6" s="420" t="s">
        <v>690</v>
      </c>
      <c r="B6" s="425" t="s">
        <v>691</v>
      </c>
      <c r="C6" s="421" t="s">
        <v>687</v>
      </c>
      <c r="D6" s="422">
        <v>15000000000</v>
      </c>
      <c r="E6" s="422">
        <v>18170185162</v>
      </c>
      <c r="F6" s="422">
        <v>3170185162</v>
      </c>
      <c r="G6" s="423">
        <v>25.95</v>
      </c>
      <c r="H6" s="423">
        <v>28.46</v>
      </c>
      <c r="I6" s="424"/>
      <c r="J6" s="424"/>
    </row>
    <row r="7" spans="1:21" s="428" customFormat="1" ht="139.9" customHeight="1">
      <c r="A7" s="1212" t="s">
        <v>61</v>
      </c>
      <c r="B7" s="1213"/>
      <c r="C7" s="1213"/>
      <c r="D7" s="426">
        <f>SUM(D4:D6)</f>
        <v>35000000000</v>
      </c>
      <c r="E7" s="426">
        <f>SUM(E4:E6)</f>
        <v>56168393516</v>
      </c>
      <c r="F7" s="426">
        <f>SUM(F4:F6)</f>
        <v>21168393516</v>
      </c>
      <c r="G7" s="423">
        <v>60.48</v>
      </c>
      <c r="H7" s="427">
        <v>31.1</v>
      </c>
      <c r="I7" s="424"/>
      <c r="J7" s="424"/>
    </row>
    <row r="8" spans="1:21" ht="139.9" customHeight="1">
      <c r="A8" s="429"/>
      <c r="B8" s="430"/>
      <c r="C8" s="253"/>
      <c r="D8" s="253"/>
      <c r="E8" s="253"/>
      <c r="F8" s="253"/>
      <c r="G8" s="253"/>
      <c r="H8" s="431"/>
      <c r="I8" s="431"/>
      <c r="J8" s="431" t="s">
        <v>692</v>
      </c>
      <c r="K8" s="253"/>
      <c r="L8" s="253"/>
      <c r="M8" s="253"/>
      <c r="N8" s="223"/>
      <c r="O8" s="223"/>
    </row>
    <row r="9" spans="1:21" ht="16.5">
      <c r="A9" s="1214"/>
      <c r="B9" s="1214"/>
      <c r="C9" s="1214"/>
      <c r="D9" s="1214"/>
      <c r="E9" s="1214"/>
      <c r="F9" s="1214"/>
      <c r="G9" s="1214"/>
      <c r="H9" s="1214"/>
      <c r="I9" s="431"/>
      <c r="J9" s="431"/>
      <c r="K9" s="253"/>
      <c r="L9" s="253"/>
      <c r="M9" s="253"/>
      <c r="N9" s="223"/>
      <c r="O9" s="223"/>
    </row>
    <row r="10" spans="1:21" ht="24.75" customHeight="1">
      <c r="A10" s="1215"/>
      <c r="B10" s="1215"/>
      <c r="C10" s="1215"/>
      <c r="D10" s="1215"/>
      <c r="E10" s="1215"/>
      <c r="F10" s="1215"/>
      <c r="G10" s="432"/>
      <c r="H10" s="432"/>
      <c r="I10" s="431"/>
      <c r="J10" s="431"/>
      <c r="K10" s="253"/>
      <c r="L10" s="253"/>
      <c r="M10" s="253"/>
      <c r="N10" s="223"/>
      <c r="O10" s="223"/>
    </row>
    <row r="11" spans="1:21" s="225" customFormat="1" ht="18" customHeight="1">
      <c r="A11" s="1216"/>
      <c r="B11" s="1216"/>
      <c r="C11" s="1216"/>
      <c r="D11" s="1216"/>
      <c r="E11" s="1216"/>
      <c r="F11" s="1216"/>
      <c r="G11" s="432"/>
      <c r="H11" s="432"/>
      <c r="I11" s="253"/>
      <c r="J11" s="253"/>
      <c r="K11" s="433"/>
      <c r="L11" s="433"/>
    </row>
    <row r="12" spans="1:21" s="225" customFormat="1" ht="18" customHeight="1">
      <c r="A12" s="434"/>
      <c r="B12" s="435"/>
      <c r="C12" s="432"/>
      <c r="D12" s="435"/>
      <c r="E12" s="435"/>
      <c r="F12" s="435"/>
      <c r="G12" s="435"/>
      <c r="H12" s="435"/>
      <c r="I12" s="253"/>
      <c r="J12" s="253"/>
      <c r="K12" s="433"/>
      <c r="L12" s="433"/>
    </row>
    <row r="13" spans="1:21" s="225" customFormat="1" ht="18" customHeight="1">
      <c r="A13" s="436"/>
      <c r="B13" s="437"/>
      <c r="C13" s="437"/>
      <c r="D13" s="253"/>
      <c r="E13" s="253"/>
      <c r="F13" s="253"/>
      <c r="G13" s="253"/>
      <c r="H13" s="253"/>
      <c r="I13" s="253"/>
      <c r="J13" s="253"/>
      <c r="K13" s="433"/>
      <c r="L13" s="433"/>
    </row>
    <row r="14" spans="1:21" s="225" customFormat="1" ht="18" customHeight="1">
      <c r="A14" s="436"/>
      <c r="B14" s="223"/>
      <c r="C14" s="223"/>
      <c r="D14" s="223"/>
      <c r="E14" s="223"/>
      <c r="F14" s="223"/>
      <c r="G14" s="223"/>
      <c r="H14" s="223"/>
      <c r="I14" s="253"/>
      <c r="J14" s="253"/>
      <c r="K14" s="433"/>
      <c r="L14" s="433"/>
    </row>
    <row r="15" spans="1:21" ht="18" customHeight="1">
      <c r="D15" s="438"/>
      <c r="E15" s="438"/>
      <c r="F15" s="438"/>
    </row>
    <row r="16" spans="1:21" ht="24" customHeight="1">
      <c r="D16" s="438"/>
      <c r="E16" s="438"/>
      <c r="F16" s="438"/>
    </row>
    <row r="26" spans="2:3" ht="24" customHeight="1">
      <c r="B26" s="439"/>
      <c r="C26" s="439"/>
    </row>
    <row r="93" spans="14:14" ht="24" customHeight="1">
      <c r="N93" s="221">
        <v>291742949000</v>
      </c>
    </row>
  </sheetData>
  <mergeCells count="5">
    <mergeCell ref="A1:G1"/>
    <mergeCell ref="A7:C7"/>
    <mergeCell ref="A9:H9"/>
    <mergeCell ref="A10:F10"/>
    <mergeCell ref="A11:F11"/>
  </mergeCells>
  <phoneticPr fontId="3" type="noConversion"/>
  <printOptions horizontalCentered="1"/>
  <pageMargins left="0.59055118110236227" right="0.19685039370078741" top="0.78740157480314965" bottom="0.39370078740157483" header="0.19685039370078741" footer="0"/>
  <pageSetup paperSize="9" scale="75" orientation="portrait" r:id="rId1"/>
  <headerFooter alignWithMargins="0"/>
  <legacyDrawing r:id="rId2"/>
</worksheet>
</file>

<file path=xl/worksheets/sheet64.xml><?xml version="1.0" encoding="utf-8"?>
<worksheet xmlns="http://schemas.openxmlformats.org/spreadsheetml/2006/main" xmlns:r="http://schemas.openxmlformats.org/officeDocument/2006/relationships">
  <sheetPr>
    <tabColor theme="7" tint="0.39997558519241921"/>
    <pageSetUpPr fitToPage="1"/>
  </sheetPr>
  <dimension ref="A1:X27"/>
  <sheetViews>
    <sheetView view="pageBreakPreview" zoomScale="70" zoomScaleNormal="75" zoomScaleSheetLayoutView="70"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9" defaultRowHeight="24" customHeight="1"/>
  <cols>
    <col min="1" max="1" width="14.5" style="255" customWidth="1"/>
    <col min="2" max="2" width="13.875" style="255" customWidth="1"/>
    <col min="3" max="3" width="12.125" style="255" customWidth="1"/>
    <col min="4" max="4" width="23.75" style="255" customWidth="1"/>
    <col min="5" max="5" width="25.5" style="255" bestFit="1" customWidth="1"/>
    <col min="6" max="6" width="22.75" style="255" customWidth="1"/>
    <col min="7" max="7" width="12.125" style="255" bestFit="1" customWidth="1"/>
    <col min="8" max="8" width="25.5" style="255" customWidth="1"/>
    <col min="9" max="9" width="11" style="255" bestFit="1" customWidth="1"/>
    <col min="10" max="10" width="10.625" style="255" customWidth="1"/>
    <col min="11" max="13" width="14.875" style="255" customWidth="1"/>
    <col min="14" max="14" width="12.75" style="221" customWidth="1"/>
    <col min="15" max="15" width="10" style="221" customWidth="1"/>
    <col min="16" max="16" width="9.5" style="221" customWidth="1"/>
    <col min="17" max="17" width="9" style="221"/>
    <col min="18" max="19" width="7.25" style="221" customWidth="1"/>
    <col min="20" max="20" width="9.25" style="221" customWidth="1"/>
    <col min="21" max="21" width="8.75" style="221" customWidth="1"/>
    <col min="22" max="22" width="8.375" style="221" customWidth="1"/>
    <col min="23" max="16384" width="9" style="221"/>
  </cols>
  <sheetData>
    <row r="1" spans="1:24" s="84" customFormat="1" ht="34.5" customHeight="1">
      <c r="A1" s="1223" t="s">
        <v>693</v>
      </c>
      <c r="B1" s="1223"/>
      <c r="C1" s="1223"/>
      <c r="D1" s="1223"/>
      <c r="E1" s="1223"/>
      <c r="F1" s="1223"/>
      <c r="G1" s="1223"/>
      <c r="H1" s="1223"/>
      <c r="I1" s="1223"/>
      <c r="J1" s="1223"/>
      <c r="K1" s="413"/>
      <c r="L1" s="413"/>
      <c r="M1" s="413"/>
    </row>
    <row r="2" spans="1:24" ht="16.5">
      <c r="D2" s="414"/>
      <c r="E2" s="414"/>
      <c r="F2" s="414"/>
      <c r="H2" s="414"/>
      <c r="J2" s="415" t="s">
        <v>694</v>
      </c>
      <c r="K2" s="415"/>
      <c r="L2" s="415"/>
      <c r="M2" s="221"/>
      <c r="W2" s="416"/>
      <c r="X2" s="416"/>
    </row>
    <row r="3" spans="1:24" ht="61.5" customHeight="1">
      <c r="A3" s="1224" t="s">
        <v>677</v>
      </c>
      <c r="B3" s="1226" t="s">
        <v>678</v>
      </c>
      <c r="C3" s="1226" t="s">
        <v>679</v>
      </c>
      <c r="D3" s="1226" t="s">
        <v>695</v>
      </c>
      <c r="E3" s="1226" t="s">
        <v>696</v>
      </c>
      <c r="F3" s="1229" t="s">
        <v>697</v>
      </c>
      <c r="G3" s="1230"/>
      <c r="H3" s="1229" t="s">
        <v>698</v>
      </c>
      <c r="I3" s="1230"/>
      <c r="J3" s="1226" t="s">
        <v>684</v>
      </c>
      <c r="K3" s="419"/>
      <c r="L3" s="419"/>
      <c r="M3" s="419"/>
    </row>
    <row r="4" spans="1:24" ht="59.25" customHeight="1">
      <c r="A4" s="1225"/>
      <c r="B4" s="1227"/>
      <c r="C4" s="1227"/>
      <c r="D4" s="1228"/>
      <c r="E4" s="1228"/>
      <c r="F4" s="440" t="s">
        <v>91</v>
      </c>
      <c r="G4" s="440" t="s">
        <v>699</v>
      </c>
      <c r="H4" s="440" t="s">
        <v>91</v>
      </c>
      <c r="I4" s="440" t="s">
        <v>699</v>
      </c>
      <c r="J4" s="1228"/>
      <c r="K4" s="419"/>
      <c r="L4" s="419"/>
      <c r="M4" s="419"/>
    </row>
    <row r="5" spans="1:24" s="428" customFormat="1" ht="78.599999999999994" customHeight="1">
      <c r="A5" s="421" t="s">
        <v>700</v>
      </c>
      <c r="B5" s="420" t="s">
        <v>701</v>
      </c>
      <c r="C5" s="441" t="s">
        <v>702</v>
      </c>
      <c r="D5" s="442">
        <v>381056090.51999998</v>
      </c>
      <c r="E5" s="442">
        <v>646020033.2700001</v>
      </c>
      <c r="F5" s="443">
        <v>264963942.75000012</v>
      </c>
      <c r="G5" s="444">
        <v>69.53</v>
      </c>
      <c r="H5" s="445">
        <v>8002664944.4694653</v>
      </c>
      <c r="I5" s="446">
        <v>70.37</v>
      </c>
      <c r="J5" s="447">
        <v>25.39</v>
      </c>
      <c r="K5" s="424"/>
      <c r="L5" s="424"/>
      <c r="M5" s="424"/>
    </row>
    <row r="6" spans="1:24" s="428" customFormat="1" ht="78.599999999999994" customHeight="1">
      <c r="A6" s="1218" t="s">
        <v>703</v>
      </c>
      <c r="B6" s="420" t="s">
        <v>704</v>
      </c>
      <c r="C6" s="441" t="s">
        <v>705</v>
      </c>
      <c r="D6" s="442">
        <v>263076477.06999999</v>
      </c>
      <c r="E6" s="442">
        <v>370219684.6500001</v>
      </c>
      <c r="F6" s="448">
        <v>107143207.5800001</v>
      </c>
      <c r="G6" s="446">
        <v>40.729999999999997</v>
      </c>
      <c r="H6" s="445">
        <v>3126409557.8911018</v>
      </c>
      <c r="I6" s="444">
        <v>39.200000000000003</v>
      </c>
      <c r="J6" s="447">
        <v>16.489999999999998</v>
      </c>
      <c r="K6" s="424"/>
      <c r="L6" s="424"/>
      <c r="M6" s="424"/>
    </row>
    <row r="7" spans="1:24" s="428" customFormat="1" ht="78.599999999999994" customHeight="1">
      <c r="A7" s="1219"/>
      <c r="B7" s="420" t="s">
        <v>706</v>
      </c>
      <c r="C7" s="441" t="s">
        <v>702</v>
      </c>
      <c r="D7" s="442">
        <v>204341586.67000002</v>
      </c>
      <c r="E7" s="442">
        <v>393962662.80000073</v>
      </c>
      <c r="F7" s="448">
        <v>189621076.13000071</v>
      </c>
      <c r="G7" s="444">
        <v>47.19</v>
      </c>
      <c r="H7" s="445">
        <v>5671614795.7251406</v>
      </c>
      <c r="I7" s="444">
        <v>46.83</v>
      </c>
      <c r="J7" s="447">
        <v>25.65</v>
      </c>
      <c r="K7" s="424"/>
      <c r="L7" s="424"/>
      <c r="M7" s="424"/>
    </row>
    <row r="8" spans="1:24" s="428" customFormat="1" ht="78.599999999999994" customHeight="1">
      <c r="A8" s="1218" t="s">
        <v>707</v>
      </c>
      <c r="B8" s="1220" t="s">
        <v>708</v>
      </c>
      <c r="C8" s="441" t="s">
        <v>702</v>
      </c>
      <c r="D8" s="442">
        <v>450000000</v>
      </c>
      <c r="E8" s="442">
        <v>1033295924</v>
      </c>
      <c r="F8" s="448">
        <v>583295924</v>
      </c>
      <c r="G8" s="446">
        <v>137.49</v>
      </c>
      <c r="H8" s="445">
        <v>17887444760.760002</v>
      </c>
      <c r="I8" s="446">
        <v>146</v>
      </c>
      <c r="J8" s="447">
        <v>26.24</v>
      </c>
      <c r="K8" s="424"/>
      <c r="L8" s="424"/>
      <c r="M8" s="424"/>
    </row>
    <row r="9" spans="1:24" s="428" customFormat="1" ht="78.599999999999994" customHeight="1">
      <c r="A9" s="1219"/>
      <c r="B9" s="1123"/>
      <c r="C9" s="441" t="s">
        <v>709</v>
      </c>
      <c r="D9" s="442">
        <v>200000000</v>
      </c>
      <c r="E9" s="442">
        <v>280660208.18999994</v>
      </c>
      <c r="F9" s="448">
        <v>80660208.189999938</v>
      </c>
      <c r="G9" s="446">
        <v>40.33</v>
      </c>
      <c r="H9" s="445">
        <v>2626599643.6180973</v>
      </c>
      <c r="I9" s="446">
        <v>45.36</v>
      </c>
      <c r="J9" s="447">
        <v>17.010000000000002</v>
      </c>
      <c r="K9" s="424"/>
      <c r="L9" s="424"/>
      <c r="M9" s="424"/>
    </row>
    <row r="10" spans="1:24" ht="78.599999999999994" customHeight="1">
      <c r="A10" s="421" t="s">
        <v>710</v>
      </c>
      <c r="B10" s="420" t="s">
        <v>711</v>
      </c>
      <c r="C10" s="441" t="s">
        <v>712</v>
      </c>
      <c r="D10" s="442">
        <v>220000000</v>
      </c>
      <c r="E10" s="442">
        <v>278722879.30000001</v>
      </c>
      <c r="F10" s="448">
        <v>58722879.300000012</v>
      </c>
      <c r="G10" s="446">
        <v>36.42</v>
      </c>
      <c r="H10" s="445">
        <v>1559399150.2069998</v>
      </c>
      <c r="I10" s="446">
        <v>36.67</v>
      </c>
      <c r="J10" s="447">
        <v>13.51</v>
      </c>
      <c r="K10" s="424"/>
      <c r="L10" s="424"/>
      <c r="M10" s="424"/>
    </row>
    <row r="11" spans="1:24" ht="78.599999999999994" customHeight="1">
      <c r="A11" s="1221" t="s">
        <v>713</v>
      </c>
      <c r="B11" s="420" t="s">
        <v>714</v>
      </c>
      <c r="C11" s="421" t="s">
        <v>715</v>
      </c>
      <c r="D11" s="442">
        <v>500000000</v>
      </c>
      <c r="E11" s="442">
        <v>760544771.02000046</v>
      </c>
      <c r="F11" s="448">
        <v>260544771.0200004</v>
      </c>
      <c r="G11" s="446">
        <v>47</v>
      </c>
      <c r="H11" s="445">
        <v>6884737682.8898115</v>
      </c>
      <c r="I11" s="446">
        <v>44.85</v>
      </c>
      <c r="J11" s="447">
        <v>21.53</v>
      </c>
      <c r="K11" s="424"/>
      <c r="L11" s="424"/>
      <c r="M11" s="424"/>
    </row>
    <row r="12" spans="1:24" ht="78.599999999999994" customHeight="1">
      <c r="A12" s="1222"/>
      <c r="B12" s="420" t="s">
        <v>716</v>
      </c>
      <c r="C12" s="421" t="s">
        <v>717</v>
      </c>
      <c r="D12" s="449">
        <v>500000000</v>
      </c>
      <c r="E12" s="449">
        <v>644240334.45000017</v>
      </c>
      <c r="F12" s="448">
        <v>144240334.45000017</v>
      </c>
      <c r="G12" s="446">
        <v>50.98</v>
      </c>
      <c r="H12" s="445">
        <v>3725017630.1555042</v>
      </c>
      <c r="I12" s="446">
        <v>46.67</v>
      </c>
      <c r="J12" s="450">
        <v>21.29</v>
      </c>
      <c r="K12" s="424"/>
      <c r="L12" s="424"/>
      <c r="M12" s="424"/>
    </row>
    <row r="13" spans="1:24" s="428" customFormat="1" ht="78.599999999999994" customHeight="1">
      <c r="A13" s="1218" t="s">
        <v>718</v>
      </c>
      <c r="B13" s="420" t="s">
        <v>719</v>
      </c>
      <c r="C13" s="421" t="s">
        <v>720</v>
      </c>
      <c r="D13" s="442">
        <v>150000000</v>
      </c>
      <c r="E13" s="442">
        <v>199914201.13</v>
      </c>
      <c r="F13" s="451">
        <v>49914201.13000001</v>
      </c>
      <c r="G13" s="446">
        <v>33.28</v>
      </c>
      <c r="H13" s="452">
        <v>1245376891.8887</v>
      </c>
      <c r="I13" s="446">
        <v>26.22</v>
      </c>
      <c r="J13" s="447">
        <v>29.43</v>
      </c>
      <c r="K13" s="424"/>
      <c r="L13" s="424"/>
      <c r="M13" s="424"/>
    </row>
    <row r="14" spans="1:24" s="428" customFormat="1" ht="78.599999999999994" customHeight="1">
      <c r="A14" s="1219"/>
      <c r="B14" s="420" t="s">
        <v>716</v>
      </c>
      <c r="C14" s="421" t="s">
        <v>721</v>
      </c>
      <c r="D14" s="442">
        <v>150000000</v>
      </c>
      <c r="E14" s="442">
        <v>188515089.13</v>
      </c>
      <c r="F14" s="448">
        <v>38515089.129999995</v>
      </c>
      <c r="G14" s="446">
        <v>44.02</v>
      </c>
      <c r="H14" s="445">
        <v>974842523.00869942</v>
      </c>
      <c r="I14" s="446">
        <v>39.909999999999997</v>
      </c>
      <c r="J14" s="447">
        <v>25.74</v>
      </c>
      <c r="K14" s="424"/>
      <c r="L14" s="424"/>
      <c r="M14" s="424"/>
    </row>
    <row r="15" spans="1:24" s="428" customFormat="1" ht="78.599999999999994" customHeight="1">
      <c r="A15" s="421" t="s">
        <v>722</v>
      </c>
      <c r="B15" s="420" t="s">
        <v>723</v>
      </c>
      <c r="C15" s="453" t="s">
        <v>724</v>
      </c>
      <c r="D15" s="449">
        <v>600000000</v>
      </c>
      <c r="E15" s="449">
        <v>674780679.77000058</v>
      </c>
      <c r="F15" s="448">
        <v>74780679.770000607</v>
      </c>
      <c r="G15" s="446">
        <v>14.83</v>
      </c>
      <c r="H15" s="445">
        <v>2411572586.3023167</v>
      </c>
      <c r="I15" s="446">
        <v>14.31</v>
      </c>
      <c r="J15" s="450">
        <v>15.07</v>
      </c>
      <c r="K15" s="424"/>
      <c r="L15" s="424"/>
      <c r="M15" s="424"/>
    </row>
    <row r="16" spans="1:24" s="428" customFormat="1" ht="78.599999999999994" customHeight="1">
      <c r="A16" s="421" t="s">
        <v>725</v>
      </c>
      <c r="B16" s="420" t="s">
        <v>726</v>
      </c>
      <c r="C16" s="453" t="s">
        <v>727</v>
      </c>
      <c r="D16" s="449">
        <v>1100000000</v>
      </c>
      <c r="E16" s="449">
        <v>1155827161.4300001</v>
      </c>
      <c r="F16" s="448">
        <v>55827161.430000007</v>
      </c>
      <c r="G16" s="446">
        <v>7.84</v>
      </c>
      <c r="H16" s="445">
        <v>1202856571.2856979</v>
      </c>
      <c r="I16" s="446">
        <v>7.82</v>
      </c>
      <c r="J16" s="450">
        <v>7.48</v>
      </c>
      <c r="K16" s="424"/>
      <c r="L16" s="424"/>
      <c r="M16" s="424"/>
    </row>
    <row r="17" spans="1:18" ht="78.599999999999994" customHeight="1">
      <c r="A17" s="1212" t="s">
        <v>728</v>
      </c>
      <c r="B17" s="1213"/>
      <c r="C17" s="1213"/>
      <c r="D17" s="454">
        <f>SUM(D5:D16)</f>
        <v>4718474154.2600002</v>
      </c>
      <c r="E17" s="454">
        <f t="shared" ref="E17:F17" si="0">SUM(E5:E16)</f>
        <v>6626703629.1400032</v>
      </c>
      <c r="F17" s="454">
        <f t="shared" si="0"/>
        <v>1908229474.8800025</v>
      </c>
      <c r="G17" s="446">
        <f>F17/D17*100</f>
        <v>40.441664243454369</v>
      </c>
      <c r="H17" s="445">
        <f>SUM(H5:H16)</f>
        <v>55318536738.20153</v>
      </c>
      <c r="I17" s="446">
        <v>38.630000000000003</v>
      </c>
      <c r="J17" s="455">
        <v>18.14</v>
      </c>
      <c r="K17" s="431"/>
      <c r="L17" s="431"/>
      <c r="M17" s="431"/>
      <c r="N17" s="253"/>
      <c r="O17" s="253"/>
      <c r="P17" s="253"/>
      <c r="Q17" s="223"/>
      <c r="R17" s="223"/>
    </row>
    <row r="18" spans="1:18" ht="24" customHeight="1">
      <c r="A18" s="1217" t="s">
        <v>729</v>
      </c>
      <c r="B18" s="1217"/>
      <c r="C18" s="1217"/>
      <c r="D18" s="1217"/>
      <c r="E18" s="1217"/>
      <c r="F18" s="1217"/>
      <c r="G18" s="1217"/>
      <c r="H18" s="1217"/>
      <c r="I18" s="1217"/>
      <c r="J18" s="1217"/>
    </row>
    <row r="19" spans="1:18" s="225" customFormat="1" ht="16.149999999999999" customHeight="1">
      <c r="A19" s="456"/>
      <c r="B19" s="457"/>
    </row>
    <row r="27" spans="1:18" ht="24" customHeight="1">
      <c r="B27" s="439"/>
      <c r="C27" s="439"/>
    </row>
  </sheetData>
  <mergeCells count="16">
    <mergeCell ref="A1:J1"/>
    <mergeCell ref="A3:A4"/>
    <mergeCell ref="B3:B4"/>
    <mergeCell ref="C3:C4"/>
    <mergeCell ref="D3:D4"/>
    <mergeCell ref="E3:E4"/>
    <mergeCell ref="F3:G3"/>
    <mergeCell ref="H3:I3"/>
    <mergeCell ref="J3:J4"/>
    <mergeCell ref="A18:J18"/>
    <mergeCell ref="A6:A7"/>
    <mergeCell ref="A8:A9"/>
    <mergeCell ref="B8:B9"/>
    <mergeCell ref="A11:A12"/>
    <mergeCell ref="A13:A14"/>
    <mergeCell ref="A17:C17"/>
  </mergeCells>
  <phoneticPr fontId="3" type="noConversion"/>
  <printOptions horizontalCentered="1"/>
  <pageMargins left="0.48" right="0.19685039370078741" top="0.78740157480314965" bottom="0.39370078740157483" header="0.19685039370078741" footer="0"/>
  <pageSetup paperSize="9" scale="56" orientation="portrait" r:id="rId1"/>
  <headerFooter alignWithMargins="0"/>
  <legacyDrawing r:id="rId2"/>
</worksheet>
</file>

<file path=xl/worksheets/sheet65.xml><?xml version="1.0" encoding="utf-8"?>
<worksheet xmlns="http://schemas.openxmlformats.org/spreadsheetml/2006/main" xmlns:r="http://schemas.openxmlformats.org/officeDocument/2006/relationships">
  <sheetPr>
    <tabColor indexed="46"/>
  </sheetPr>
  <dimension ref="A1:N28"/>
  <sheetViews>
    <sheetView view="pageBreakPreview" zoomScale="90" zoomScaleNormal="100" zoomScaleSheetLayoutView="90" workbookViewId="0">
      <pane xSplit="2" ySplit="4" topLeftCell="C14" activePane="bottomRight" state="frozen"/>
      <selection activeCell="E20" sqref="E20"/>
      <selection pane="topRight" activeCell="E20" sqref="E20"/>
      <selection pane="bottomLeft" activeCell="E20" sqref="E20"/>
      <selection pane="bottomRight" activeCell="E20" sqref="E20"/>
    </sheetView>
  </sheetViews>
  <sheetFormatPr defaultColWidth="9" defaultRowHeight="24" customHeight="1"/>
  <cols>
    <col min="1" max="1" width="16.125" style="633" customWidth="1"/>
    <col min="2" max="2" width="32.625" style="633" customWidth="1"/>
    <col min="3" max="3" width="36.625" style="633" customWidth="1"/>
    <col min="4" max="4" width="10" style="341" customWidth="1"/>
    <col min="5" max="5" width="9.5" style="341" customWidth="1"/>
    <col min="6" max="6" width="9" style="341"/>
    <col min="7" max="8" width="7.25" style="341" customWidth="1"/>
    <col min="9" max="9" width="9.25" style="341" customWidth="1"/>
    <col min="10" max="10" width="8.75" style="341" customWidth="1"/>
    <col min="11" max="11" width="8.375" style="341" customWidth="1"/>
    <col min="12" max="16384" width="9" style="341"/>
  </cols>
  <sheetData>
    <row r="1" spans="1:14" s="60" customFormat="1" ht="33" customHeight="1">
      <c r="A1" s="931" t="s">
        <v>913</v>
      </c>
      <c r="B1" s="931"/>
      <c r="C1" s="931"/>
    </row>
    <row r="2" spans="1:14" ht="33" customHeight="1">
      <c r="A2" s="1231" t="s">
        <v>914</v>
      </c>
      <c r="B2" s="1231"/>
      <c r="C2" s="1231"/>
      <c r="D2" s="620"/>
      <c r="E2" s="620"/>
      <c r="F2" s="620"/>
      <c r="G2" s="620"/>
      <c r="H2" s="620"/>
      <c r="J2" s="620"/>
      <c r="K2" s="620"/>
      <c r="L2" s="621"/>
      <c r="M2" s="621"/>
      <c r="N2" s="620"/>
    </row>
    <row r="3" spans="1:14" ht="50.25" customHeight="1">
      <c r="A3" s="622" t="s">
        <v>48</v>
      </c>
      <c r="B3" s="623" t="s">
        <v>630</v>
      </c>
      <c r="C3" s="624" t="s">
        <v>631</v>
      </c>
    </row>
    <row r="4" spans="1:14" s="626" customFormat="1" ht="63" hidden="1" customHeight="1">
      <c r="A4" s="58" t="s">
        <v>915</v>
      </c>
      <c r="B4" s="625">
        <v>123737</v>
      </c>
      <c r="C4" s="625">
        <v>123555</v>
      </c>
    </row>
    <row r="5" spans="1:14" s="626" customFormat="1" ht="63" hidden="1" customHeight="1">
      <c r="A5" s="58" t="s">
        <v>759</v>
      </c>
      <c r="B5" s="625">
        <v>124241</v>
      </c>
      <c r="C5" s="625">
        <v>116310</v>
      </c>
    </row>
    <row r="6" spans="1:14" ht="63" hidden="1" customHeight="1">
      <c r="A6" s="58" t="s">
        <v>54</v>
      </c>
      <c r="B6" s="625">
        <v>125770</v>
      </c>
      <c r="C6" s="625">
        <v>125194</v>
      </c>
      <c r="E6" s="625"/>
    </row>
    <row r="7" spans="1:14" ht="63" hidden="1" customHeight="1">
      <c r="A7" s="58" t="s">
        <v>8</v>
      </c>
      <c r="B7" s="625">
        <v>128633</v>
      </c>
      <c r="C7" s="627">
        <v>122282</v>
      </c>
    </row>
    <row r="8" spans="1:14" ht="63" hidden="1" customHeight="1">
      <c r="A8" s="58" t="s">
        <v>0</v>
      </c>
      <c r="B8" s="625">
        <v>123080</v>
      </c>
      <c r="C8" s="627">
        <v>118549</v>
      </c>
    </row>
    <row r="9" spans="1:14" ht="63" hidden="1" customHeight="1">
      <c r="A9" s="58" t="s">
        <v>1</v>
      </c>
      <c r="B9" s="627">
        <v>125378</v>
      </c>
      <c r="C9" s="627">
        <v>113800</v>
      </c>
    </row>
    <row r="10" spans="1:14" ht="63" hidden="1" customHeight="1">
      <c r="A10" s="309" t="s">
        <v>916</v>
      </c>
      <c r="B10" s="628">
        <v>129998</v>
      </c>
      <c r="C10" s="628">
        <v>128070</v>
      </c>
    </row>
    <row r="11" spans="1:14" ht="63" customHeight="1">
      <c r="A11" s="309" t="s">
        <v>605</v>
      </c>
      <c r="B11" s="629">
        <v>310960</v>
      </c>
      <c r="C11" s="628">
        <v>305245</v>
      </c>
    </row>
    <row r="12" spans="1:14" ht="63" customHeight="1">
      <c r="A12" s="309" t="s">
        <v>606</v>
      </c>
      <c r="B12" s="628">
        <v>311929</v>
      </c>
      <c r="C12" s="630">
        <v>307094</v>
      </c>
    </row>
    <row r="13" spans="1:14" ht="63" customHeight="1">
      <c r="A13" s="309" t="s">
        <v>607</v>
      </c>
      <c r="B13" s="628">
        <v>315621</v>
      </c>
      <c r="C13" s="628">
        <v>312985</v>
      </c>
    </row>
    <row r="14" spans="1:14" ht="63" customHeight="1">
      <c r="A14" s="309" t="s">
        <v>608</v>
      </c>
      <c r="B14" s="631">
        <v>870964</v>
      </c>
      <c r="C14" s="631">
        <v>870951</v>
      </c>
    </row>
    <row r="15" spans="1:14" ht="63" customHeight="1">
      <c r="A15" s="309" t="s">
        <v>609</v>
      </c>
      <c r="B15" s="631">
        <v>875940</v>
      </c>
      <c r="C15" s="631">
        <v>875940</v>
      </c>
    </row>
    <row r="16" spans="1:14" ht="63" customHeight="1">
      <c r="A16" s="309" t="s">
        <v>610</v>
      </c>
      <c r="B16" s="631">
        <v>880565</v>
      </c>
      <c r="C16" s="631">
        <v>880565</v>
      </c>
    </row>
    <row r="17" spans="1:3" ht="63" customHeight="1">
      <c r="A17" s="309" t="s">
        <v>917</v>
      </c>
      <c r="B17" s="631">
        <v>881250</v>
      </c>
      <c r="C17" s="631">
        <v>880950</v>
      </c>
    </row>
    <row r="18" spans="1:3" ht="63" customHeight="1">
      <c r="A18" s="309" t="s">
        <v>612</v>
      </c>
      <c r="B18" s="631">
        <v>1564809</v>
      </c>
      <c r="C18" s="631">
        <v>1564508</v>
      </c>
    </row>
    <row r="19" spans="1:3" ht="63" customHeight="1">
      <c r="A19" s="309" t="s">
        <v>613</v>
      </c>
      <c r="B19" s="631">
        <v>170097</v>
      </c>
      <c r="C19" s="631">
        <v>169797</v>
      </c>
    </row>
    <row r="20" spans="1:3" ht="63" customHeight="1">
      <c r="A20" s="312" t="s">
        <v>614</v>
      </c>
      <c r="B20" s="632">
        <v>172014</v>
      </c>
      <c r="C20" s="632">
        <v>171445</v>
      </c>
    </row>
    <row r="21" spans="1:3" ht="16.5">
      <c r="A21" s="61" t="s">
        <v>423</v>
      </c>
      <c r="B21" s="627">
        <f>SUM(B11:C19)-SUM('[4]附錄4行政經費-OK'!$B$11:$C$19)</f>
        <v>0</v>
      </c>
      <c r="C21" s="627"/>
    </row>
    <row r="28" spans="1:3" ht="24" customHeight="1">
      <c r="B28" s="634"/>
      <c r="C28" s="634"/>
    </row>
  </sheetData>
  <mergeCells count="2">
    <mergeCell ref="A1:C1"/>
    <mergeCell ref="A2:C2"/>
  </mergeCells>
  <phoneticPr fontId="3" type="noConversion"/>
  <pageMargins left="0.78740157480314965" right="0" top="0.59055118110236227" bottom="0.39370078740157483" header="0" footer="0"/>
  <pageSetup paperSize="9" pageOrder="overThenDown" orientation="portrait" r:id="rId1"/>
  <headerFooter alignWithMargins="0"/>
</worksheet>
</file>

<file path=xl/worksheets/sheet66.xml><?xml version="1.0" encoding="utf-8"?>
<worksheet xmlns="http://schemas.openxmlformats.org/spreadsheetml/2006/main" xmlns:r="http://schemas.openxmlformats.org/officeDocument/2006/relationships">
  <dimension ref="A1:R29"/>
  <sheetViews>
    <sheetView view="pageBreakPreview" zoomScaleNormal="100" zoomScaleSheetLayoutView="75" workbookViewId="0">
      <pane ySplit="4" topLeftCell="A5" activePane="bottomLeft" state="frozen"/>
      <selection activeCell="E20" sqref="E20"/>
      <selection pane="bottomLeft" activeCell="E20" sqref="E20"/>
    </sheetView>
  </sheetViews>
  <sheetFormatPr defaultColWidth="11" defaultRowHeight="24" customHeight="1"/>
  <cols>
    <col min="1" max="1" width="16.125" style="655" customWidth="1"/>
    <col min="2" max="4" width="21.625" style="655" customWidth="1"/>
    <col min="5" max="5" width="10.5" style="655" hidden="1" customWidth="1"/>
    <col min="6" max="6" width="3.875" style="638" customWidth="1"/>
    <col min="7" max="7" width="10" style="638" customWidth="1"/>
    <col min="8" max="8" width="9.5" style="638" customWidth="1"/>
    <col min="9" max="9" width="11" style="638"/>
    <col min="10" max="11" width="7.25" style="638" customWidth="1"/>
    <col min="12" max="12" width="9.25" style="638" customWidth="1"/>
    <col min="13" max="13" width="8.75" style="638" customWidth="1"/>
    <col min="14" max="14" width="8.375" style="638" customWidth="1"/>
    <col min="15" max="16384" width="11" style="638"/>
  </cols>
  <sheetData>
    <row r="1" spans="1:17" s="60" customFormat="1" ht="33" customHeight="1">
      <c r="A1" s="931" t="s">
        <v>918</v>
      </c>
      <c r="B1" s="931"/>
      <c r="C1" s="931"/>
      <c r="D1" s="931"/>
      <c r="E1" s="931"/>
    </row>
    <row r="2" spans="1:17" ht="33" customHeight="1">
      <c r="A2" s="1232" t="s">
        <v>919</v>
      </c>
      <c r="B2" s="1232"/>
      <c r="C2" s="1232"/>
      <c r="D2" s="1232"/>
      <c r="E2" s="635"/>
      <c r="F2" s="636"/>
      <c r="G2" s="637"/>
      <c r="H2" s="637"/>
      <c r="I2" s="637"/>
      <c r="J2" s="637"/>
      <c r="K2" s="637"/>
      <c r="M2" s="637"/>
      <c r="N2" s="637"/>
      <c r="O2" s="639"/>
      <c r="P2" s="639"/>
      <c r="Q2" s="637"/>
    </row>
    <row r="3" spans="1:17" ht="50.25" customHeight="1">
      <c r="A3" s="640" t="s">
        <v>48</v>
      </c>
      <c r="B3" s="641" t="s">
        <v>920</v>
      </c>
      <c r="C3" s="642" t="s">
        <v>921</v>
      </c>
      <c r="D3" s="642" t="s">
        <v>922</v>
      </c>
      <c r="E3" s="643"/>
      <c r="F3" s="636"/>
    </row>
    <row r="4" spans="1:17" s="647" customFormat="1" ht="63.75" hidden="1" customHeight="1">
      <c r="A4" s="58" t="s">
        <v>53</v>
      </c>
      <c r="B4" s="644">
        <v>88</v>
      </c>
      <c r="C4" s="644">
        <v>75</v>
      </c>
      <c r="D4" s="644">
        <v>75</v>
      </c>
      <c r="E4" s="645">
        <v>121311</v>
      </c>
      <c r="F4" s="646"/>
    </row>
    <row r="5" spans="1:17" s="647" customFormat="1" ht="63.75" hidden="1" customHeight="1">
      <c r="A5" s="58" t="s">
        <v>60</v>
      </c>
      <c r="B5" s="644">
        <v>88</v>
      </c>
      <c r="C5" s="644">
        <v>77</v>
      </c>
      <c r="D5" s="644">
        <v>77</v>
      </c>
      <c r="E5" s="645"/>
      <c r="F5" s="646"/>
    </row>
    <row r="6" spans="1:17" ht="63.75" hidden="1" customHeight="1">
      <c r="A6" s="58" t="s">
        <v>54</v>
      </c>
      <c r="B6" s="644">
        <v>88</v>
      </c>
      <c r="C6" s="644">
        <v>83</v>
      </c>
      <c r="D6" s="644">
        <v>81</v>
      </c>
      <c r="E6" s="645">
        <v>121311</v>
      </c>
      <c r="F6" s="636"/>
    </row>
    <row r="7" spans="1:17" ht="63.75" hidden="1" customHeight="1">
      <c r="A7" s="58" t="s">
        <v>8</v>
      </c>
      <c r="B7" s="644">
        <v>88</v>
      </c>
      <c r="C7" s="644">
        <v>83</v>
      </c>
      <c r="D7" s="644">
        <v>80</v>
      </c>
      <c r="E7" s="645">
        <v>121311</v>
      </c>
      <c r="F7" s="636"/>
    </row>
    <row r="8" spans="1:17" ht="63.75" hidden="1" customHeight="1">
      <c r="A8" s="58" t="s">
        <v>0</v>
      </c>
      <c r="B8" s="644">
        <v>88</v>
      </c>
      <c r="C8" s="644">
        <v>84</v>
      </c>
      <c r="D8" s="644">
        <v>79</v>
      </c>
      <c r="E8" s="645"/>
      <c r="F8" s="636"/>
    </row>
    <row r="9" spans="1:17" ht="63.75" hidden="1" customHeight="1">
      <c r="A9" s="58" t="s">
        <v>1</v>
      </c>
      <c r="B9" s="644">
        <v>88</v>
      </c>
      <c r="C9" s="644">
        <v>86</v>
      </c>
      <c r="D9" s="644">
        <v>84</v>
      </c>
      <c r="E9" s="645"/>
      <c r="F9" s="636"/>
    </row>
    <row r="10" spans="1:17" ht="63.75" hidden="1" customHeight="1">
      <c r="A10" s="309" t="s">
        <v>916</v>
      </c>
      <c r="B10" s="644">
        <v>88</v>
      </c>
      <c r="C10" s="644">
        <v>86</v>
      </c>
      <c r="D10" s="644">
        <v>82</v>
      </c>
      <c r="E10" s="645"/>
      <c r="F10" s="636"/>
    </row>
    <row r="11" spans="1:17" ht="63.75" customHeight="1">
      <c r="A11" s="309" t="s">
        <v>605</v>
      </c>
      <c r="B11" s="644">
        <v>88</v>
      </c>
      <c r="C11" s="644">
        <v>86</v>
      </c>
      <c r="D11" s="644">
        <v>80</v>
      </c>
      <c r="E11" s="645"/>
      <c r="F11" s="636"/>
    </row>
    <row r="12" spans="1:17" ht="63.75" customHeight="1">
      <c r="A12" s="309" t="s">
        <v>606</v>
      </c>
      <c r="B12" s="644">
        <v>88</v>
      </c>
      <c r="C12" s="648">
        <v>86</v>
      </c>
      <c r="D12" s="644">
        <v>79</v>
      </c>
      <c r="E12" s="645"/>
      <c r="F12" s="636"/>
    </row>
    <row r="13" spans="1:17" ht="63.75" customHeight="1">
      <c r="A13" s="309" t="s">
        <v>607</v>
      </c>
      <c r="B13" s="644">
        <v>88</v>
      </c>
      <c r="C13" s="644">
        <v>86</v>
      </c>
      <c r="D13" s="644">
        <v>81</v>
      </c>
      <c r="E13" s="645"/>
      <c r="F13" s="636"/>
    </row>
    <row r="14" spans="1:17" ht="63.75" customHeight="1">
      <c r="A14" s="309" t="s">
        <v>608</v>
      </c>
      <c r="B14" s="644">
        <v>88</v>
      </c>
      <c r="C14" s="644">
        <v>86</v>
      </c>
      <c r="D14" s="644">
        <v>82</v>
      </c>
      <c r="E14" s="645"/>
      <c r="F14" s="636"/>
    </row>
    <row r="15" spans="1:17" s="647" customFormat="1" ht="63.75" customHeight="1">
      <c r="A15" s="309" t="s">
        <v>923</v>
      </c>
      <c r="B15" s="644">
        <v>88</v>
      </c>
      <c r="C15" s="644">
        <v>85</v>
      </c>
      <c r="D15" s="644">
        <v>84</v>
      </c>
      <c r="E15" s="645"/>
      <c r="F15" s="646"/>
    </row>
    <row r="16" spans="1:17" s="647" customFormat="1" ht="63.75" customHeight="1">
      <c r="A16" s="309" t="s">
        <v>610</v>
      </c>
      <c r="B16" s="644">
        <v>88</v>
      </c>
      <c r="C16" s="644">
        <v>85</v>
      </c>
      <c r="D16" s="644">
        <v>84</v>
      </c>
      <c r="E16" s="645"/>
      <c r="F16" s="646"/>
    </row>
    <row r="17" spans="1:18" s="647" customFormat="1" ht="63.75" customHeight="1">
      <c r="A17" s="309" t="s">
        <v>917</v>
      </c>
      <c r="B17" s="644">
        <v>88</v>
      </c>
      <c r="C17" s="644">
        <v>85</v>
      </c>
      <c r="D17" s="644">
        <v>84</v>
      </c>
      <c r="E17" s="645"/>
      <c r="F17" s="646"/>
    </row>
    <row r="18" spans="1:18" s="647" customFormat="1" ht="63.75" customHeight="1">
      <c r="A18" s="309" t="s">
        <v>612</v>
      </c>
      <c r="B18" s="644">
        <v>88</v>
      </c>
      <c r="C18" s="644">
        <v>85</v>
      </c>
      <c r="D18" s="644">
        <v>81</v>
      </c>
      <c r="E18" s="645"/>
      <c r="F18" s="646"/>
    </row>
    <row r="19" spans="1:18" s="647" customFormat="1" ht="63.75" customHeight="1">
      <c r="A19" s="309" t="s">
        <v>613</v>
      </c>
      <c r="B19" s="644">
        <v>88</v>
      </c>
      <c r="C19" s="644">
        <v>85</v>
      </c>
      <c r="D19" s="644">
        <v>83</v>
      </c>
      <c r="E19" s="645"/>
      <c r="F19" s="646"/>
    </row>
    <row r="20" spans="1:18" ht="63.75" customHeight="1">
      <c r="A20" s="312" t="s">
        <v>614</v>
      </c>
      <c r="B20" s="649">
        <v>88</v>
      </c>
      <c r="C20" s="650">
        <v>85</v>
      </c>
      <c r="D20" s="650">
        <v>82</v>
      </c>
      <c r="E20" s="645"/>
      <c r="F20" s="636"/>
    </row>
    <row r="21" spans="1:18" s="653" customFormat="1" ht="21.4" customHeight="1">
      <c r="A21" s="61" t="s">
        <v>423</v>
      </c>
      <c r="B21" s="651">
        <f>SUM(B11:D19)-SUM('[4]附錄5員額配置-OK'!$B$11:$D$19)</f>
        <v>0</v>
      </c>
      <c r="C21" s="651"/>
      <c r="D21" s="651"/>
      <c r="E21" s="651"/>
      <c r="F21" s="651"/>
      <c r="G21" s="651"/>
      <c r="H21" s="652"/>
      <c r="I21" s="651"/>
      <c r="J21" s="651"/>
      <c r="K21" s="651"/>
      <c r="L21" s="651"/>
      <c r="M21" s="651"/>
      <c r="N21" s="651"/>
    </row>
    <row r="22" spans="1:18" ht="24" customHeight="1">
      <c r="A22" s="654"/>
      <c r="B22" s="654"/>
      <c r="C22" s="654"/>
      <c r="D22" s="654"/>
      <c r="E22" s="654"/>
      <c r="F22" s="636"/>
      <c r="L22" s="637"/>
    </row>
    <row r="23" spans="1:18" ht="24" customHeight="1">
      <c r="F23" s="636"/>
      <c r="G23" s="637"/>
      <c r="H23" s="637"/>
      <c r="I23" s="637"/>
      <c r="J23" s="637"/>
      <c r="K23" s="637"/>
      <c r="L23" s="637"/>
      <c r="M23" s="637"/>
      <c r="N23" s="637"/>
      <c r="O23" s="637"/>
      <c r="P23" s="637"/>
      <c r="Q23" s="637"/>
      <c r="R23" s="637"/>
    </row>
    <row r="24" spans="1:18" ht="24" customHeight="1">
      <c r="F24" s="636"/>
      <c r="G24" s="637"/>
      <c r="H24" s="637"/>
      <c r="I24" s="637"/>
      <c r="L24" s="637"/>
      <c r="M24" s="637"/>
      <c r="N24" s="637"/>
      <c r="P24" s="637"/>
      <c r="Q24" s="637"/>
      <c r="R24" s="637"/>
    </row>
    <row r="25" spans="1:18" ht="24" customHeight="1">
      <c r="F25" s="636"/>
      <c r="G25" s="637"/>
      <c r="H25" s="637"/>
      <c r="I25" s="637"/>
      <c r="J25" s="637"/>
      <c r="K25" s="637"/>
      <c r="L25" s="637"/>
      <c r="M25" s="637"/>
      <c r="N25" s="637"/>
      <c r="O25" s="637"/>
      <c r="P25" s="637"/>
      <c r="Q25" s="637"/>
      <c r="R25" s="637"/>
    </row>
    <row r="26" spans="1:18" ht="24" customHeight="1">
      <c r="A26" s="656"/>
      <c r="B26" s="656"/>
      <c r="C26" s="656"/>
      <c r="D26" s="656"/>
      <c r="E26" s="656"/>
      <c r="F26" s="637"/>
      <c r="G26" s="637"/>
      <c r="H26" s="637"/>
      <c r="I26" s="637"/>
      <c r="J26" s="637"/>
      <c r="K26" s="637"/>
      <c r="L26" s="637"/>
      <c r="M26" s="637"/>
      <c r="N26" s="637"/>
      <c r="O26" s="637"/>
      <c r="P26" s="637"/>
      <c r="Q26" s="637"/>
      <c r="R26" s="637"/>
    </row>
    <row r="27" spans="1:18" ht="24" customHeight="1">
      <c r="A27" s="656"/>
      <c r="B27" s="656"/>
      <c r="C27" s="656"/>
      <c r="D27" s="656"/>
      <c r="E27" s="656"/>
      <c r="F27" s="637"/>
      <c r="G27" s="637"/>
      <c r="H27" s="637"/>
      <c r="I27" s="637"/>
      <c r="J27" s="637"/>
      <c r="K27" s="637"/>
      <c r="L27" s="637"/>
      <c r="M27" s="637"/>
      <c r="N27" s="637"/>
      <c r="O27" s="637"/>
      <c r="P27" s="637"/>
      <c r="Q27" s="637"/>
      <c r="R27" s="637"/>
    </row>
    <row r="28" spans="1:18" ht="24" customHeight="1">
      <c r="A28" s="656"/>
      <c r="B28" s="657"/>
      <c r="C28" s="657"/>
      <c r="D28" s="656"/>
      <c r="E28" s="656"/>
      <c r="F28" s="637"/>
      <c r="G28" s="637"/>
      <c r="H28" s="637"/>
      <c r="I28" s="637"/>
      <c r="J28" s="637"/>
      <c r="K28" s="637"/>
      <c r="L28" s="637"/>
      <c r="M28" s="637"/>
      <c r="N28" s="637"/>
      <c r="O28" s="637"/>
      <c r="P28" s="637"/>
      <c r="Q28" s="637"/>
      <c r="R28" s="637"/>
    </row>
    <row r="29" spans="1:18" ht="24" customHeight="1">
      <c r="A29" s="656"/>
      <c r="B29" s="656"/>
      <c r="C29" s="656"/>
      <c r="D29" s="656"/>
      <c r="E29" s="656"/>
      <c r="F29" s="637"/>
      <c r="G29" s="637"/>
      <c r="H29" s="637"/>
      <c r="I29" s="637"/>
      <c r="J29" s="637"/>
      <c r="K29" s="637"/>
      <c r="L29" s="637"/>
      <c r="M29" s="637"/>
      <c r="N29" s="637"/>
      <c r="O29" s="637"/>
      <c r="P29" s="637"/>
      <c r="Q29" s="637"/>
      <c r="R29" s="637"/>
    </row>
  </sheetData>
  <mergeCells count="2">
    <mergeCell ref="A1:E1"/>
    <mergeCell ref="A2:D2"/>
  </mergeCells>
  <phoneticPr fontId="3" type="noConversion"/>
  <pageMargins left="0.78740157480314965" right="0" top="0.59055118110236227" bottom="0.78740157480314965" header="0" footer="0"/>
  <pageSetup paperSize="9" pageOrder="overThenDown" orientation="portrait" r:id="rId1"/>
  <headerFooter alignWithMargins="0"/>
</worksheet>
</file>

<file path=xl/worksheets/sheet67.xml><?xml version="1.0" encoding="utf-8"?>
<worksheet xmlns="http://schemas.openxmlformats.org/spreadsheetml/2006/main" xmlns:r="http://schemas.openxmlformats.org/officeDocument/2006/relationships">
  <dimension ref="A1:W30"/>
  <sheetViews>
    <sheetView view="pageBreakPreview" zoomScale="75" zoomScaleNormal="100" zoomScaleSheetLayoutView="75" workbookViewId="0">
      <pane xSplit="1" ySplit="4" topLeftCell="B6" activePane="bottomRight" state="frozen"/>
      <selection activeCell="E20" sqref="E20"/>
      <selection pane="topRight" activeCell="E20" sqref="E20"/>
      <selection pane="bottomLeft" activeCell="E20" sqref="E20"/>
      <selection pane="bottomRight" activeCell="E20" sqref="E20"/>
    </sheetView>
  </sheetViews>
  <sheetFormatPr defaultColWidth="11" defaultRowHeight="24" customHeight="1"/>
  <cols>
    <col min="1" max="1" width="9.5" style="655" customWidth="1"/>
    <col min="2" max="9" width="9.125" style="655" customWidth="1"/>
    <col min="10" max="10" width="10.5" style="655" hidden="1" customWidth="1"/>
    <col min="11" max="11" width="12.75" style="638" customWidth="1"/>
    <col min="12" max="12" width="10" style="638" customWidth="1"/>
    <col min="13" max="13" width="9.5" style="638" customWidth="1"/>
    <col min="14" max="14" width="11" style="638"/>
    <col min="15" max="16" width="7.25" style="638" customWidth="1"/>
    <col min="17" max="17" width="9.25" style="638" customWidth="1"/>
    <col min="18" max="18" width="8.75" style="638" customWidth="1"/>
    <col min="19" max="19" width="8.375" style="638" customWidth="1"/>
    <col min="20" max="16384" width="11" style="638"/>
  </cols>
  <sheetData>
    <row r="1" spans="1:22" s="60" customFormat="1" ht="33" customHeight="1">
      <c r="A1" s="931" t="s">
        <v>924</v>
      </c>
      <c r="B1" s="931"/>
      <c r="C1" s="931"/>
      <c r="D1" s="931"/>
      <c r="E1" s="931"/>
      <c r="F1" s="931"/>
      <c r="G1" s="931"/>
      <c r="H1" s="931"/>
      <c r="I1" s="931"/>
      <c r="J1" s="931"/>
    </row>
    <row r="2" spans="1:22" ht="33" customHeight="1">
      <c r="A2" s="1232" t="s">
        <v>925</v>
      </c>
      <c r="B2" s="1233"/>
      <c r="C2" s="1233"/>
      <c r="D2" s="1233"/>
      <c r="E2" s="1233"/>
      <c r="F2" s="1233"/>
      <c r="G2" s="1233"/>
      <c r="H2" s="1233"/>
      <c r="I2" s="1233"/>
      <c r="J2" s="635"/>
      <c r="K2" s="636"/>
      <c r="L2" s="637"/>
      <c r="M2" s="637"/>
      <c r="N2" s="637"/>
      <c r="O2" s="637"/>
      <c r="P2" s="637"/>
      <c r="R2" s="637"/>
      <c r="S2" s="637"/>
      <c r="T2" s="639"/>
      <c r="U2" s="639"/>
      <c r="V2" s="637"/>
    </row>
    <row r="3" spans="1:22" ht="38.25" customHeight="1">
      <c r="A3" s="1234" t="s">
        <v>48</v>
      </c>
      <c r="B3" s="1235" t="s">
        <v>49</v>
      </c>
      <c r="C3" s="1235" t="s">
        <v>926</v>
      </c>
      <c r="D3" s="1235"/>
      <c r="E3" s="1235" t="s">
        <v>927</v>
      </c>
      <c r="F3" s="1235"/>
      <c r="G3" s="1235"/>
      <c r="H3" s="1235"/>
      <c r="I3" s="1236"/>
      <c r="J3" s="643"/>
      <c r="K3" s="636"/>
    </row>
    <row r="4" spans="1:22" ht="36.75" customHeight="1">
      <c r="A4" s="1234"/>
      <c r="B4" s="1235"/>
      <c r="C4" s="641" t="s">
        <v>928</v>
      </c>
      <c r="D4" s="641" t="s">
        <v>929</v>
      </c>
      <c r="E4" s="641" t="s">
        <v>930</v>
      </c>
      <c r="F4" s="641" t="s">
        <v>931</v>
      </c>
      <c r="G4" s="641" t="s">
        <v>932</v>
      </c>
      <c r="H4" s="641" t="s">
        <v>933</v>
      </c>
      <c r="I4" s="658" t="s">
        <v>934</v>
      </c>
      <c r="J4" s="643"/>
      <c r="K4" s="636"/>
    </row>
    <row r="5" spans="1:22" s="661" customFormat="1" ht="156.6" customHeight="1">
      <c r="A5" s="521" t="s">
        <v>49</v>
      </c>
      <c r="B5" s="644">
        <f>SUM(E5:I5)</f>
        <v>82</v>
      </c>
      <c r="C5" s="644">
        <f t="shared" ref="C5:I5" si="0">SUM(C6:C8)</f>
        <v>28</v>
      </c>
      <c r="D5" s="644">
        <f t="shared" si="0"/>
        <v>54</v>
      </c>
      <c r="E5" s="644">
        <f t="shared" si="0"/>
        <v>1</v>
      </c>
      <c r="F5" s="644">
        <f t="shared" si="0"/>
        <v>34</v>
      </c>
      <c r="G5" s="644">
        <f t="shared" si="0"/>
        <v>42</v>
      </c>
      <c r="H5" s="644">
        <f t="shared" si="0"/>
        <v>5</v>
      </c>
      <c r="I5" s="644">
        <f t="shared" si="0"/>
        <v>0</v>
      </c>
      <c r="J5" s="659">
        <v>102492</v>
      </c>
      <c r="K5" s="660">
        <f>SUM(C5:D5)-'附錄5員額配置-OK'!D20</f>
        <v>0</v>
      </c>
      <c r="L5" s="660">
        <f>SUM(E5:I5)-SUM(C5:D5)</f>
        <v>0</v>
      </c>
    </row>
    <row r="6" spans="1:22" ht="156.6" customHeight="1">
      <c r="A6" s="525" t="s">
        <v>935</v>
      </c>
      <c r="B6" s="644">
        <f>SUM(C6:D6)</f>
        <v>10</v>
      </c>
      <c r="C6" s="644">
        <v>4</v>
      </c>
      <c r="D6" s="644">
        <v>6</v>
      </c>
      <c r="E6" s="644">
        <v>0</v>
      </c>
      <c r="F6" s="644">
        <v>7</v>
      </c>
      <c r="G6" s="644">
        <v>3</v>
      </c>
      <c r="H6" s="644">
        <v>0</v>
      </c>
      <c r="I6" s="644">
        <v>0</v>
      </c>
      <c r="J6" s="645">
        <v>103592</v>
      </c>
      <c r="K6" s="662">
        <f>SUM(E6:I6)-SUM(C6:D6)</f>
        <v>0</v>
      </c>
      <c r="L6" s="662"/>
    </row>
    <row r="7" spans="1:22" ht="156.6" customHeight="1">
      <c r="A7" s="525" t="s">
        <v>936</v>
      </c>
      <c r="B7" s="644">
        <f>SUM(C7:D7)</f>
        <v>63</v>
      </c>
      <c r="C7" s="644">
        <v>21</v>
      </c>
      <c r="D7" s="644">
        <v>42</v>
      </c>
      <c r="E7" s="644">
        <v>1</v>
      </c>
      <c r="F7" s="644">
        <v>27</v>
      </c>
      <c r="G7" s="644">
        <v>32</v>
      </c>
      <c r="H7" s="644">
        <v>3</v>
      </c>
      <c r="I7" s="644">
        <v>0</v>
      </c>
      <c r="J7" s="645">
        <v>118094</v>
      </c>
      <c r="K7" s="662">
        <f t="shared" ref="K7:K20" si="1">SUM(E7:I7)-SUM(C7:D7)</f>
        <v>0</v>
      </c>
      <c r="L7" s="662"/>
    </row>
    <row r="8" spans="1:22" ht="156.6" customHeight="1">
      <c r="A8" s="522" t="s">
        <v>937</v>
      </c>
      <c r="B8" s="650">
        <f>SUM(C8:D8)</f>
        <v>9</v>
      </c>
      <c r="C8" s="650">
        <v>3</v>
      </c>
      <c r="D8" s="650">
        <v>6</v>
      </c>
      <c r="E8" s="650">
        <v>0</v>
      </c>
      <c r="F8" s="650">
        <v>0</v>
      </c>
      <c r="G8" s="650">
        <v>7</v>
      </c>
      <c r="H8" s="650">
        <v>2</v>
      </c>
      <c r="I8" s="650">
        <v>0</v>
      </c>
      <c r="J8" s="645">
        <v>169231</v>
      </c>
      <c r="K8" s="662">
        <f t="shared" si="1"/>
        <v>0</v>
      </c>
      <c r="L8" s="662"/>
    </row>
    <row r="9" spans="1:22" ht="28.15" hidden="1" customHeight="1">
      <c r="A9" s="663" t="s">
        <v>938</v>
      </c>
      <c r="B9" s="664"/>
      <c r="C9" s="665"/>
      <c r="D9" s="665"/>
      <c r="E9" s="665"/>
      <c r="F9" s="664"/>
      <c r="G9" s="665"/>
      <c r="H9" s="665"/>
      <c r="I9" s="665"/>
      <c r="J9" s="665"/>
      <c r="K9" s="662">
        <f t="shared" si="1"/>
        <v>0</v>
      </c>
    </row>
    <row r="10" spans="1:22" ht="28.15" hidden="1" customHeight="1">
      <c r="A10" s="666" t="s">
        <v>939</v>
      </c>
      <c r="B10" s="667"/>
      <c r="C10" s="665"/>
      <c r="D10" s="665"/>
      <c r="E10" s="665"/>
      <c r="F10" s="667"/>
      <c r="G10" s="665"/>
      <c r="H10" s="665"/>
      <c r="I10" s="665"/>
      <c r="J10" s="665"/>
      <c r="K10" s="662">
        <f t="shared" si="1"/>
        <v>0</v>
      </c>
    </row>
    <row r="11" spans="1:22" ht="28.15" hidden="1" customHeight="1">
      <c r="A11" s="666" t="s">
        <v>940</v>
      </c>
      <c r="B11" s="667"/>
      <c r="C11" s="665"/>
      <c r="D11" s="665"/>
      <c r="E11" s="665"/>
      <c r="F11" s="667"/>
      <c r="G11" s="665"/>
      <c r="H11" s="665"/>
      <c r="I11" s="665"/>
      <c r="J11" s="665"/>
      <c r="K11" s="662">
        <f t="shared" si="1"/>
        <v>0</v>
      </c>
    </row>
    <row r="12" spans="1:22" ht="28.15" hidden="1" customHeight="1">
      <c r="A12" s="666" t="s">
        <v>941</v>
      </c>
      <c r="B12" s="667"/>
      <c r="C12" s="668"/>
      <c r="D12" s="665"/>
      <c r="E12" s="665"/>
      <c r="F12" s="667"/>
      <c r="G12" s="665"/>
      <c r="H12" s="665"/>
      <c r="I12" s="665"/>
      <c r="J12" s="665"/>
      <c r="K12" s="662">
        <f t="shared" si="1"/>
        <v>0</v>
      </c>
    </row>
    <row r="13" spans="1:22" ht="28.15" hidden="1" customHeight="1">
      <c r="A13" s="666" t="s">
        <v>942</v>
      </c>
      <c r="B13" s="667"/>
      <c r="C13" s="665"/>
      <c r="D13" s="665"/>
      <c r="E13" s="665"/>
      <c r="F13" s="667"/>
      <c r="G13" s="665"/>
      <c r="H13" s="665"/>
      <c r="I13" s="665"/>
      <c r="J13" s="665"/>
      <c r="K13" s="662">
        <f t="shared" si="1"/>
        <v>0</v>
      </c>
    </row>
    <row r="14" spans="1:22" ht="28.15" hidden="1" customHeight="1">
      <c r="A14" s="666" t="s">
        <v>943</v>
      </c>
      <c r="B14" s="667"/>
      <c r="C14" s="665"/>
      <c r="D14" s="665"/>
      <c r="E14" s="665"/>
      <c r="F14" s="667"/>
      <c r="G14" s="665"/>
      <c r="H14" s="665"/>
      <c r="I14" s="665"/>
      <c r="J14" s="665"/>
      <c r="K14" s="662">
        <f t="shared" si="1"/>
        <v>0</v>
      </c>
    </row>
    <row r="15" spans="1:22" ht="28.15" hidden="1" customHeight="1">
      <c r="A15" s="666" t="s">
        <v>944</v>
      </c>
      <c r="B15" s="667"/>
      <c r="C15" s="665"/>
      <c r="D15" s="665"/>
      <c r="E15" s="665"/>
      <c r="F15" s="667"/>
      <c r="G15" s="665"/>
      <c r="H15" s="665"/>
      <c r="I15" s="665"/>
      <c r="J15" s="665"/>
      <c r="K15" s="662">
        <f t="shared" si="1"/>
        <v>0</v>
      </c>
    </row>
    <row r="16" spans="1:22" s="661" customFormat="1" ht="28.15" hidden="1" customHeight="1">
      <c r="A16" s="666" t="s">
        <v>945</v>
      </c>
      <c r="B16" s="667"/>
      <c r="C16" s="665"/>
      <c r="D16" s="665"/>
      <c r="E16" s="665"/>
      <c r="F16" s="667"/>
      <c r="G16" s="665"/>
      <c r="H16" s="665"/>
      <c r="I16" s="665"/>
      <c r="J16" s="665"/>
      <c r="K16" s="662">
        <f t="shared" si="1"/>
        <v>0</v>
      </c>
    </row>
    <row r="17" spans="1:23" s="661" customFormat="1" ht="28.15" hidden="1" customHeight="1">
      <c r="A17" s="666" t="s">
        <v>946</v>
      </c>
      <c r="B17" s="667"/>
      <c r="C17" s="665"/>
      <c r="D17" s="665"/>
      <c r="E17" s="665"/>
      <c r="F17" s="667"/>
      <c r="G17" s="665"/>
      <c r="H17" s="665"/>
      <c r="I17" s="665"/>
      <c r="J17" s="665"/>
      <c r="K17" s="662">
        <f t="shared" si="1"/>
        <v>0</v>
      </c>
    </row>
    <row r="18" spans="1:23" s="661" customFormat="1" ht="28.15" hidden="1" customHeight="1">
      <c r="A18" s="666" t="s">
        <v>947</v>
      </c>
      <c r="B18" s="667"/>
      <c r="C18" s="665"/>
      <c r="D18" s="665"/>
      <c r="E18" s="665"/>
      <c r="F18" s="667"/>
      <c r="G18" s="665"/>
      <c r="H18" s="665"/>
      <c r="I18" s="665"/>
      <c r="J18" s="665"/>
      <c r="K18" s="662">
        <f t="shared" si="1"/>
        <v>0</v>
      </c>
    </row>
    <row r="19" spans="1:23" s="661" customFormat="1" ht="28.15" hidden="1" customHeight="1">
      <c r="A19" s="666" t="s">
        <v>948</v>
      </c>
      <c r="B19" s="667"/>
      <c r="C19" s="665"/>
      <c r="D19" s="665"/>
      <c r="E19" s="665"/>
      <c r="F19" s="667"/>
      <c r="G19" s="665"/>
      <c r="H19" s="665"/>
      <c r="I19" s="665"/>
      <c r="J19" s="665"/>
      <c r="K19" s="662">
        <f t="shared" si="1"/>
        <v>0</v>
      </c>
    </row>
    <row r="20" spans="1:23" s="661" customFormat="1" ht="28.15" hidden="1" customHeight="1">
      <c r="A20" s="666" t="s">
        <v>949</v>
      </c>
      <c r="B20" s="667"/>
      <c r="C20" s="669"/>
      <c r="D20" s="669"/>
      <c r="E20" s="669"/>
      <c r="F20" s="667"/>
      <c r="G20" s="669"/>
      <c r="H20" s="669"/>
      <c r="I20" s="669"/>
      <c r="J20" s="669"/>
      <c r="K20" s="662">
        <f t="shared" si="1"/>
        <v>0</v>
      </c>
    </row>
    <row r="21" spans="1:23" s="653" customFormat="1" ht="21.4" customHeight="1">
      <c r="A21" s="61"/>
      <c r="B21" s="652"/>
      <c r="C21" s="651"/>
      <c r="D21" s="651"/>
      <c r="E21" s="651"/>
      <c r="F21" s="652"/>
      <c r="G21" s="651"/>
      <c r="H21" s="651"/>
      <c r="I21" s="651"/>
      <c r="J21" s="651"/>
      <c r="K21" s="651"/>
      <c r="L21" s="651"/>
      <c r="M21" s="652"/>
      <c r="N21" s="651"/>
      <c r="O21" s="651"/>
      <c r="P21" s="651"/>
      <c r="Q21" s="651"/>
      <c r="R21" s="651"/>
      <c r="S21" s="651"/>
    </row>
    <row r="22" spans="1:23" s="653" customFormat="1" ht="21.4" customHeight="1">
      <c r="A22" s="652"/>
      <c r="B22" s="652"/>
      <c r="C22" s="651"/>
      <c r="D22" s="651"/>
      <c r="E22" s="651"/>
      <c r="F22" s="652"/>
      <c r="G22" s="651"/>
      <c r="H22" s="651"/>
      <c r="I22" s="651"/>
      <c r="J22" s="651"/>
      <c r="K22" s="651"/>
      <c r="L22" s="651"/>
      <c r="M22" s="652"/>
      <c r="N22" s="651"/>
      <c r="O22" s="651"/>
      <c r="P22" s="651"/>
      <c r="Q22" s="651"/>
      <c r="R22" s="651"/>
      <c r="S22" s="651"/>
    </row>
    <row r="23" spans="1:23" ht="24" customHeight="1">
      <c r="A23" s="654"/>
      <c r="B23" s="654"/>
      <c r="C23" s="654"/>
      <c r="D23" s="654"/>
      <c r="E23" s="654"/>
      <c r="F23" s="654"/>
      <c r="G23" s="654"/>
      <c r="H23" s="654"/>
      <c r="I23" s="654"/>
      <c r="J23" s="654"/>
      <c r="K23" s="636"/>
      <c r="Q23" s="637"/>
    </row>
    <row r="24" spans="1:23" ht="24" customHeight="1">
      <c r="K24" s="636"/>
      <c r="L24" s="637"/>
      <c r="M24" s="637"/>
      <c r="N24" s="637"/>
      <c r="O24" s="637"/>
      <c r="P24" s="637"/>
      <c r="Q24" s="637"/>
      <c r="R24" s="637"/>
      <c r="S24" s="637"/>
      <c r="T24" s="637"/>
      <c r="U24" s="637"/>
      <c r="V24" s="637"/>
      <c r="W24" s="637"/>
    </row>
    <row r="25" spans="1:23" ht="24" customHeight="1">
      <c r="K25" s="636"/>
      <c r="L25" s="637"/>
      <c r="M25" s="637"/>
      <c r="N25" s="637"/>
      <c r="Q25" s="637"/>
      <c r="R25" s="637"/>
      <c r="S25" s="637"/>
      <c r="U25" s="637"/>
      <c r="V25" s="637"/>
      <c r="W25" s="637"/>
    </row>
    <row r="26" spans="1:23" ht="24" customHeight="1">
      <c r="K26" s="636"/>
      <c r="L26" s="637"/>
      <c r="M26" s="637"/>
      <c r="N26" s="637"/>
      <c r="O26" s="637"/>
      <c r="P26" s="637"/>
      <c r="Q26" s="637"/>
      <c r="R26" s="637"/>
      <c r="S26" s="637"/>
      <c r="T26" s="637"/>
      <c r="U26" s="637"/>
      <c r="V26" s="637"/>
      <c r="W26" s="637"/>
    </row>
    <row r="27" spans="1:23" ht="24" customHeight="1">
      <c r="A27" s="656"/>
      <c r="B27" s="657"/>
      <c r="C27" s="657"/>
      <c r="D27" s="656"/>
      <c r="E27" s="656"/>
      <c r="F27" s="656"/>
      <c r="G27" s="656"/>
      <c r="H27" s="656"/>
      <c r="I27" s="656"/>
      <c r="J27" s="656"/>
      <c r="K27" s="637"/>
      <c r="L27" s="637"/>
      <c r="M27" s="637"/>
      <c r="N27" s="637"/>
      <c r="O27" s="637"/>
      <c r="P27" s="637"/>
      <c r="Q27" s="637"/>
      <c r="R27" s="637"/>
      <c r="S27" s="637"/>
      <c r="T27" s="637"/>
      <c r="U27" s="637"/>
      <c r="V27" s="637"/>
      <c r="W27" s="637"/>
    </row>
    <row r="28" spans="1:23" ht="24" customHeight="1">
      <c r="A28" s="656"/>
      <c r="B28" s="656"/>
      <c r="C28" s="656"/>
      <c r="D28" s="656"/>
      <c r="E28" s="656"/>
      <c r="F28" s="656"/>
      <c r="G28" s="656"/>
      <c r="H28" s="656"/>
      <c r="I28" s="656"/>
      <c r="J28" s="656"/>
      <c r="K28" s="637"/>
      <c r="L28" s="637"/>
      <c r="M28" s="637"/>
      <c r="N28" s="637"/>
      <c r="O28" s="637"/>
      <c r="P28" s="637"/>
      <c r="Q28" s="637"/>
      <c r="R28" s="637"/>
      <c r="S28" s="637"/>
      <c r="T28" s="637"/>
      <c r="U28" s="637"/>
      <c r="V28" s="637"/>
      <c r="W28" s="637"/>
    </row>
    <row r="29" spans="1:23" ht="24" customHeight="1">
      <c r="A29" s="656"/>
      <c r="B29" s="656"/>
      <c r="C29" s="656"/>
      <c r="D29" s="656"/>
      <c r="E29" s="656"/>
      <c r="F29" s="656"/>
      <c r="G29" s="656"/>
      <c r="H29" s="656"/>
      <c r="I29" s="656"/>
      <c r="J29" s="656"/>
      <c r="K29" s="637"/>
      <c r="L29" s="637"/>
      <c r="M29" s="637"/>
      <c r="N29" s="637"/>
      <c r="O29" s="637"/>
      <c r="P29" s="637"/>
      <c r="Q29" s="637"/>
      <c r="R29" s="637"/>
      <c r="S29" s="637"/>
      <c r="T29" s="637"/>
      <c r="U29" s="637"/>
      <c r="V29" s="637"/>
      <c r="W29" s="637"/>
    </row>
    <row r="30" spans="1:23" ht="24" customHeight="1">
      <c r="A30" s="656"/>
      <c r="B30" s="656"/>
      <c r="C30" s="656"/>
      <c r="D30" s="656"/>
      <c r="E30" s="656"/>
      <c r="F30" s="656"/>
      <c r="G30" s="656"/>
      <c r="H30" s="656"/>
      <c r="I30" s="656"/>
      <c r="J30" s="656"/>
      <c r="K30" s="637"/>
      <c r="L30" s="637"/>
      <c r="M30" s="637"/>
      <c r="N30" s="637"/>
      <c r="O30" s="637"/>
      <c r="P30" s="637"/>
      <c r="Q30" s="637"/>
      <c r="R30" s="637"/>
      <c r="S30" s="637"/>
      <c r="T30" s="637"/>
      <c r="U30" s="637"/>
      <c r="V30" s="637"/>
      <c r="W30" s="637"/>
    </row>
  </sheetData>
  <mergeCells count="6">
    <mergeCell ref="A1:J1"/>
    <mergeCell ref="A2:I2"/>
    <mergeCell ref="A3:A4"/>
    <mergeCell ref="B3:B4"/>
    <mergeCell ref="C3:D3"/>
    <mergeCell ref="E3:I3"/>
  </mergeCells>
  <phoneticPr fontId="3" type="noConversion"/>
  <pageMargins left="0.78740157480314965" right="0" top="0.59055118110236227" bottom="0.78740157480314965" header="0" footer="0"/>
  <pageSetup paperSize="9" pageOrder="overThenDown" orientation="portrait" r:id="rId1"/>
  <headerFooter alignWithMargins="0"/>
</worksheet>
</file>

<file path=xl/worksheets/sheet68.xml><?xml version="1.0" encoding="utf-8"?>
<worksheet xmlns="http://schemas.openxmlformats.org/spreadsheetml/2006/main" xmlns:r="http://schemas.openxmlformats.org/officeDocument/2006/relationships">
  <dimension ref="A1:W30"/>
  <sheetViews>
    <sheetView view="pageBreakPreview" zoomScale="75" zoomScaleNormal="100" zoomScaleSheetLayoutView="75" workbookViewId="0">
      <pane xSplit="1" ySplit="4" topLeftCell="B5" activePane="bottomRight" state="frozen"/>
      <selection activeCell="E20" sqref="E20"/>
      <selection pane="topRight" activeCell="E20" sqref="E20"/>
      <selection pane="bottomLeft" activeCell="E20" sqref="E20"/>
      <selection pane="bottomRight" activeCell="E20" sqref="E20"/>
    </sheetView>
  </sheetViews>
  <sheetFormatPr defaultColWidth="11" defaultRowHeight="24" customHeight="1"/>
  <cols>
    <col min="1" max="1" width="10" style="655" customWidth="1"/>
    <col min="2" max="2" width="8.625" style="655" customWidth="1"/>
    <col min="3" max="9" width="9.125" style="655" customWidth="1"/>
    <col min="10" max="10" width="9.625" style="655" bestFit="1" customWidth="1"/>
    <col min="11" max="11" width="12.75" style="638" customWidth="1"/>
    <col min="12" max="12" width="10" style="638" customWidth="1"/>
    <col min="13" max="13" width="9.5" style="638" customWidth="1"/>
    <col min="14" max="14" width="11" style="638"/>
    <col min="15" max="16" width="7.25" style="638" customWidth="1"/>
    <col min="17" max="17" width="9.25" style="638" customWidth="1"/>
    <col min="18" max="18" width="8.75" style="638" customWidth="1"/>
    <col min="19" max="19" width="8.375" style="638" customWidth="1"/>
    <col min="20" max="16384" width="11" style="638"/>
  </cols>
  <sheetData>
    <row r="1" spans="1:22" s="60" customFormat="1" ht="33" customHeight="1">
      <c r="A1" s="931" t="s">
        <v>950</v>
      </c>
      <c r="B1" s="931"/>
      <c r="C1" s="931"/>
      <c r="D1" s="931"/>
      <c r="E1" s="931"/>
      <c r="F1" s="931"/>
      <c r="G1" s="931"/>
      <c r="H1" s="931"/>
      <c r="I1" s="931"/>
      <c r="J1" s="931"/>
    </row>
    <row r="2" spans="1:22" ht="33" customHeight="1">
      <c r="A2" s="1232" t="s">
        <v>1004</v>
      </c>
      <c r="B2" s="1233"/>
      <c r="C2" s="1233"/>
      <c r="D2" s="1233"/>
      <c r="E2" s="1233"/>
      <c r="F2" s="1233"/>
      <c r="G2" s="1233"/>
      <c r="H2" s="1233"/>
      <c r="I2" s="1233"/>
      <c r="J2" s="1233"/>
      <c r="K2" s="636"/>
      <c r="L2" s="637"/>
      <c r="M2" s="637"/>
      <c r="N2" s="637"/>
      <c r="O2" s="637"/>
      <c r="P2" s="637"/>
      <c r="R2" s="637"/>
      <c r="S2" s="637"/>
      <c r="T2" s="639"/>
      <c r="U2" s="639"/>
      <c r="V2" s="637"/>
    </row>
    <row r="3" spans="1:22" ht="39.950000000000003" customHeight="1">
      <c r="A3" s="1234" t="s">
        <v>48</v>
      </c>
      <c r="B3" s="1235" t="s">
        <v>49</v>
      </c>
      <c r="C3" s="1236" t="s">
        <v>951</v>
      </c>
      <c r="D3" s="1237"/>
      <c r="E3" s="1237"/>
      <c r="F3" s="1237"/>
      <c r="G3" s="1237"/>
      <c r="H3" s="1237"/>
      <c r="I3" s="1234"/>
      <c r="J3" s="1238" t="s">
        <v>952</v>
      </c>
      <c r="K3" s="636"/>
    </row>
    <row r="4" spans="1:22" ht="39.950000000000003" customHeight="1">
      <c r="A4" s="1234"/>
      <c r="B4" s="1235"/>
      <c r="C4" s="641" t="s">
        <v>58</v>
      </c>
      <c r="D4" s="641" t="s">
        <v>953</v>
      </c>
      <c r="E4" s="641" t="s">
        <v>954</v>
      </c>
      <c r="F4" s="641" t="s">
        <v>955</v>
      </c>
      <c r="G4" s="641" t="s">
        <v>956</v>
      </c>
      <c r="H4" s="641" t="s">
        <v>957</v>
      </c>
      <c r="I4" s="641" t="s">
        <v>958</v>
      </c>
      <c r="J4" s="1239"/>
      <c r="K4" s="636"/>
    </row>
    <row r="5" spans="1:22" s="661" customFormat="1" ht="156.4" customHeight="1">
      <c r="A5" s="521" t="s">
        <v>49</v>
      </c>
      <c r="B5" s="644">
        <f t="shared" ref="B5:J5" si="0">SUM(B6:B8)</f>
        <v>82</v>
      </c>
      <c r="C5" s="644">
        <f t="shared" si="0"/>
        <v>82</v>
      </c>
      <c r="D5" s="644">
        <f t="shared" si="0"/>
        <v>53</v>
      </c>
      <c r="E5" s="644">
        <f t="shared" si="0"/>
        <v>4</v>
      </c>
      <c r="F5" s="644">
        <f t="shared" si="0"/>
        <v>5</v>
      </c>
      <c r="G5" s="644">
        <f t="shared" si="0"/>
        <v>16</v>
      </c>
      <c r="H5" s="644">
        <f t="shared" si="0"/>
        <v>2</v>
      </c>
      <c r="I5" s="644">
        <f t="shared" si="0"/>
        <v>2</v>
      </c>
      <c r="J5" s="644">
        <f t="shared" si="0"/>
        <v>0</v>
      </c>
      <c r="K5" s="660">
        <f>B5-'附錄5員額配置-OK'!D20</f>
        <v>0</v>
      </c>
    </row>
    <row r="6" spans="1:22" ht="156.4" customHeight="1">
      <c r="A6" s="525" t="s">
        <v>935</v>
      </c>
      <c r="B6" s="644">
        <f>C6+J6</f>
        <v>10</v>
      </c>
      <c r="C6" s="644">
        <f>SUM(D6:I6)</f>
        <v>10</v>
      </c>
      <c r="D6" s="644">
        <v>10</v>
      </c>
      <c r="E6" s="644">
        <v>0</v>
      </c>
      <c r="F6" s="644">
        <v>0</v>
      </c>
      <c r="G6" s="644">
        <v>0</v>
      </c>
      <c r="H6" s="644">
        <v>0</v>
      </c>
      <c r="I6" s="644">
        <v>0</v>
      </c>
      <c r="J6" s="644">
        <v>0</v>
      </c>
      <c r="K6" s="644">
        <f>B6-'附錄6教育程度-OK'!B6</f>
        <v>0</v>
      </c>
      <c r="L6" s="662"/>
    </row>
    <row r="7" spans="1:22" ht="156.4" customHeight="1">
      <c r="A7" s="525" t="s">
        <v>936</v>
      </c>
      <c r="B7" s="644">
        <f>C7+J7</f>
        <v>63</v>
      </c>
      <c r="C7" s="644">
        <f>SUM(D7:I7)</f>
        <v>63</v>
      </c>
      <c r="D7" s="644">
        <v>43</v>
      </c>
      <c r="E7" s="644">
        <v>1</v>
      </c>
      <c r="F7" s="644">
        <v>0</v>
      </c>
      <c r="G7" s="644">
        <v>15</v>
      </c>
      <c r="H7" s="644">
        <v>2</v>
      </c>
      <c r="I7" s="644">
        <v>2</v>
      </c>
      <c r="J7" s="644">
        <v>0</v>
      </c>
      <c r="K7" s="644">
        <f>B7-'附錄6教育程度-OK'!B7</f>
        <v>0</v>
      </c>
      <c r="L7" s="662"/>
    </row>
    <row r="8" spans="1:22" ht="156.4" customHeight="1">
      <c r="A8" s="522" t="s">
        <v>937</v>
      </c>
      <c r="B8" s="649">
        <f>C8+J8</f>
        <v>9</v>
      </c>
      <c r="C8" s="650">
        <f>SUM(D8:I8)</f>
        <v>9</v>
      </c>
      <c r="D8" s="650">
        <v>0</v>
      </c>
      <c r="E8" s="650">
        <v>3</v>
      </c>
      <c r="F8" s="650">
        <v>5</v>
      </c>
      <c r="G8" s="650">
        <v>1</v>
      </c>
      <c r="H8" s="650">
        <v>0</v>
      </c>
      <c r="I8" s="650">
        <v>0</v>
      </c>
      <c r="J8" s="650">
        <v>0</v>
      </c>
      <c r="K8" s="644">
        <f>B8-'附錄6教育程度-OK'!B8</f>
        <v>0</v>
      </c>
      <c r="L8" s="662"/>
    </row>
    <row r="9" spans="1:22" ht="28.15" hidden="1" customHeight="1">
      <c r="A9" s="663" t="s">
        <v>938</v>
      </c>
      <c r="B9" s="664"/>
      <c r="C9" s="665"/>
      <c r="D9" s="665"/>
      <c r="E9" s="665"/>
      <c r="F9" s="665"/>
      <c r="G9" s="664"/>
      <c r="H9" s="665"/>
      <c r="I9" s="665"/>
      <c r="J9" s="665"/>
      <c r="K9" s="636"/>
    </row>
    <row r="10" spans="1:22" ht="28.15" hidden="1" customHeight="1">
      <c r="A10" s="666" t="s">
        <v>939</v>
      </c>
      <c r="B10" s="667"/>
      <c r="C10" s="665"/>
      <c r="D10" s="665"/>
      <c r="E10" s="665"/>
      <c r="F10" s="665"/>
      <c r="G10" s="667"/>
      <c r="H10" s="665"/>
      <c r="I10" s="665"/>
      <c r="J10" s="665"/>
      <c r="K10" s="636"/>
    </row>
    <row r="11" spans="1:22" ht="28.15" hidden="1" customHeight="1">
      <c r="A11" s="666" t="s">
        <v>940</v>
      </c>
      <c r="B11" s="667"/>
      <c r="C11" s="665"/>
      <c r="D11" s="665"/>
      <c r="E11" s="665"/>
      <c r="F11" s="665"/>
      <c r="G11" s="667"/>
      <c r="H11" s="665"/>
      <c r="I11" s="665"/>
      <c r="J11" s="665"/>
      <c r="K11" s="636"/>
    </row>
    <row r="12" spans="1:22" ht="28.15" hidden="1" customHeight="1">
      <c r="A12" s="666" t="s">
        <v>941</v>
      </c>
      <c r="B12" s="667"/>
      <c r="C12" s="668"/>
      <c r="D12" s="665"/>
      <c r="E12" s="665"/>
      <c r="F12" s="665"/>
      <c r="G12" s="667"/>
      <c r="H12" s="665"/>
      <c r="I12" s="665"/>
      <c r="J12" s="665"/>
      <c r="K12" s="636"/>
    </row>
    <row r="13" spans="1:22" ht="28.15" hidden="1" customHeight="1">
      <c r="A13" s="666" t="s">
        <v>942</v>
      </c>
      <c r="B13" s="667"/>
      <c r="C13" s="665"/>
      <c r="D13" s="665"/>
      <c r="E13" s="665"/>
      <c r="F13" s="665"/>
      <c r="G13" s="667"/>
      <c r="H13" s="665"/>
      <c r="I13" s="665"/>
      <c r="J13" s="665"/>
      <c r="K13" s="636"/>
    </row>
    <row r="14" spans="1:22" ht="28.15" hidden="1" customHeight="1">
      <c r="A14" s="666" t="s">
        <v>943</v>
      </c>
      <c r="B14" s="667"/>
      <c r="C14" s="665"/>
      <c r="D14" s="665"/>
      <c r="E14" s="665"/>
      <c r="F14" s="665"/>
      <c r="G14" s="667"/>
      <c r="H14" s="665"/>
      <c r="I14" s="665"/>
      <c r="J14" s="665"/>
      <c r="K14" s="636"/>
    </row>
    <row r="15" spans="1:22" ht="28.15" hidden="1" customHeight="1">
      <c r="A15" s="666" t="s">
        <v>944</v>
      </c>
      <c r="B15" s="667"/>
      <c r="C15" s="665"/>
      <c r="D15" s="665"/>
      <c r="E15" s="665"/>
      <c r="F15" s="665"/>
      <c r="G15" s="667"/>
      <c r="H15" s="665"/>
      <c r="I15" s="665"/>
      <c r="J15" s="665"/>
      <c r="K15" s="636"/>
    </row>
    <row r="16" spans="1:22" s="661" customFormat="1" ht="28.15" hidden="1" customHeight="1">
      <c r="A16" s="666" t="s">
        <v>945</v>
      </c>
      <c r="B16" s="667"/>
      <c r="C16" s="665"/>
      <c r="D16" s="665"/>
      <c r="E16" s="665"/>
      <c r="F16" s="665"/>
      <c r="G16" s="667"/>
      <c r="H16" s="665"/>
      <c r="I16" s="665"/>
      <c r="J16" s="665"/>
    </row>
    <row r="17" spans="1:23" s="661" customFormat="1" ht="28.15" hidden="1" customHeight="1">
      <c r="A17" s="666" t="s">
        <v>946</v>
      </c>
      <c r="B17" s="667"/>
      <c r="C17" s="665"/>
      <c r="D17" s="665"/>
      <c r="E17" s="665"/>
      <c r="F17" s="665"/>
      <c r="G17" s="667"/>
      <c r="H17" s="665"/>
      <c r="I17" s="665"/>
      <c r="J17" s="665"/>
    </row>
    <row r="18" spans="1:23" s="661" customFormat="1" ht="28.15" hidden="1" customHeight="1">
      <c r="A18" s="666" t="s">
        <v>947</v>
      </c>
      <c r="B18" s="667"/>
      <c r="C18" s="665"/>
      <c r="D18" s="665"/>
      <c r="E18" s="665"/>
      <c r="F18" s="665"/>
      <c r="G18" s="667"/>
      <c r="H18" s="665"/>
      <c r="I18" s="665"/>
      <c r="J18" s="665"/>
    </row>
    <row r="19" spans="1:23" s="661" customFormat="1" ht="28.15" hidden="1" customHeight="1">
      <c r="A19" s="666" t="s">
        <v>948</v>
      </c>
      <c r="B19" s="667"/>
      <c r="C19" s="665"/>
      <c r="D19" s="665"/>
      <c r="E19" s="665"/>
      <c r="F19" s="665"/>
      <c r="G19" s="667"/>
      <c r="H19" s="665"/>
      <c r="I19" s="665"/>
      <c r="J19" s="665"/>
    </row>
    <row r="20" spans="1:23" s="661" customFormat="1" ht="28.15" hidden="1" customHeight="1">
      <c r="A20" s="666" t="s">
        <v>949</v>
      </c>
      <c r="B20" s="667"/>
      <c r="C20" s="669"/>
      <c r="D20" s="669"/>
      <c r="E20" s="669"/>
      <c r="F20" s="669"/>
      <c r="G20" s="667"/>
      <c r="H20" s="669"/>
      <c r="I20" s="669"/>
      <c r="J20" s="669"/>
    </row>
    <row r="21" spans="1:23" s="653" customFormat="1" ht="21.4" customHeight="1">
      <c r="A21" s="652"/>
      <c r="B21" s="652"/>
      <c r="C21" s="651"/>
      <c r="D21" s="651"/>
      <c r="E21" s="651"/>
      <c r="F21" s="651"/>
      <c r="G21" s="652"/>
      <c r="H21" s="651"/>
      <c r="I21" s="651"/>
      <c r="J21" s="651"/>
      <c r="K21" s="651"/>
      <c r="L21" s="651"/>
      <c r="M21" s="652"/>
      <c r="N21" s="651"/>
      <c r="O21" s="651"/>
      <c r="P21" s="651"/>
      <c r="Q21" s="651"/>
      <c r="R21" s="651"/>
      <c r="S21" s="651"/>
    </row>
    <row r="22" spans="1:23" s="653" customFormat="1" ht="21.4" customHeight="1">
      <c r="A22" s="652"/>
      <c r="B22" s="652"/>
      <c r="C22" s="651"/>
      <c r="D22" s="651"/>
      <c r="E22" s="651"/>
      <c r="F22" s="651"/>
      <c r="G22" s="652"/>
      <c r="H22" s="651"/>
      <c r="I22" s="651"/>
      <c r="J22" s="651"/>
      <c r="K22" s="651"/>
      <c r="L22" s="651"/>
      <c r="M22" s="652"/>
      <c r="N22" s="651"/>
      <c r="O22" s="651"/>
      <c r="P22" s="651"/>
      <c r="Q22" s="651"/>
      <c r="R22" s="651"/>
      <c r="S22" s="651"/>
    </row>
    <row r="23" spans="1:23" ht="24" customHeight="1">
      <c r="A23" s="654"/>
      <c r="B23" s="654"/>
      <c r="C23" s="654"/>
      <c r="D23" s="654"/>
      <c r="E23" s="654"/>
      <c r="F23" s="654"/>
      <c r="G23" s="654"/>
      <c r="H23" s="654"/>
      <c r="I23" s="654"/>
      <c r="J23" s="654"/>
      <c r="K23" s="636"/>
      <c r="Q23" s="637"/>
    </row>
    <row r="24" spans="1:23" ht="24" customHeight="1">
      <c r="K24" s="636"/>
      <c r="L24" s="637"/>
      <c r="M24" s="637"/>
      <c r="N24" s="637"/>
      <c r="O24" s="637"/>
      <c r="P24" s="637"/>
      <c r="Q24" s="637"/>
      <c r="R24" s="637"/>
      <c r="S24" s="637"/>
      <c r="T24" s="637"/>
      <c r="U24" s="637"/>
      <c r="V24" s="637"/>
      <c r="W24" s="637"/>
    </row>
    <row r="25" spans="1:23" ht="24" customHeight="1">
      <c r="K25" s="636"/>
      <c r="L25" s="637"/>
      <c r="M25" s="637"/>
      <c r="N25" s="637"/>
      <c r="Q25" s="637"/>
      <c r="R25" s="637"/>
      <c r="S25" s="637"/>
      <c r="U25" s="637"/>
      <c r="V25" s="637"/>
      <c r="W25" s="637"/>
    </row>
    <row r="26" spans="1:23" ht="24" customHeight="1">
      <c r="K26" s="636"/>
      <c r="L26" s="637"/>
      <c r="M26" s="637"/>
      <c r="N26" s="637"/>
      <c r="O26" s="637"/>
      <c r="P26" s="637"/>
      <c r="Q26" s="637"/>
      <c r="R26" s="637"/>
      <c r="S26" s="637"/>
      <c r="T26" s="637"/>
      <c r="U26" s="637"/>
      <c r="V26" s="637"/>
      <c r="W26" s="637"/>
    </row>
    <row r="27" spans="1:23" ht="24" customHeight="1">
      <c r="A27" s="656"/>
      <c r="B27" s="657"/>
      <c r="C27" s="657"/>
      <c r="D27" s="656"/>
      <c r="E27" s="656"/>
      <c r="F27" s="656"/>
      <c r="G27" s="656"/>
      <c r="H27" s="656"/>
      <c r="I27" s="656"/>
      <c r="J27" s="656"/>
      <c r="K27" s="637"/>
      <c r="L27" s="637"/>
      <c r="M27" s="637"/>
      <c r="N27" s="637"/>
      <c r="O27" s="637"/>
      <c r="P27" s="637"/>
      <c r="Q27" s="637"/>
      <c r="R27" s="637"/>
      <c r="S27" s="637"/>
      <c r="T27" s="637"/>
      <c r="U27" s="637"/>
      <c r="V27" s="637"/>
      <c r="W27" s="637"/>
    </row>
    <row r="28" spans="1:23" ht="24" customHeight="1">
      <c r="A28" s="656"/>
      <c r="B28" s="656"/>
      <c r="C28" s="656"/>
      <c r="D28" s="656"/>
      <c r="E28" s="656"/>
      <c r="F28" s="656"/>
      <c r="G28" s="656"/>
      <c r="H28" s="656"/>
      <c r="I28" s="656"/>
      <c r="J28" s="656"/>
      <c r="K28" s="637"/>
      <c r="L28" s="637"/>
      <c r="M28" s="637"/>
      <c r="N28" s="637"/>
      <c r="O28" s="637"/>
      <c r="P28" s="637"/>
      <c r="Q28" s="637"/>
      <c r="R28" s="637"/>
      <c r="S28" s="637"/>
      <c r="T28" s="637"/>
      <c r="U28" s="637"/>
      <c r="V28" s="637"/>
      <c r="W28" s="637"/>
    </row>
    <row r="29" spans="1:23" ht="24" customHeight="1">
      <c r="A29" s="656"/>
      <c r="B29" s="656"/>
      <c r="C29" s="656"/>
      <c r="D29" s="656"/>
      <c r="E29" s="656"/>
      <c r="F29" s="656"/>
      <c r="G29" s="656"/>
      <c r="H29" s="656"/>
      <c r="I29" s="656"/>
      <c r="J29" s="656"/>
      <c r="K29" s="637"/>
      <c r="L29" s="637"/>
      <c r="M29" s="637"/>
      <c r="N29" s="637"/>
      <c r="O29" s="637"/>
      <c r="P29" s="637"/>
      <c r="Q29" s="637"/>
      <c r="R29" s="637"/>
      <c r="S29" s="637"/>
      <c r="T29" s="637"/>
      <c r="U29" s="637"/>
      <c r="V29" s="637"/>
      <c r="W29" s="637"/>
    </row>
    <row r="30" spans="1:23" ht="24" customHeight="1">
      <c r="A30" s="656"/>
      <c r="B30" s="656"/>
      <c r="C30" s="656"/>
      <c r="D30" s="656"/>
      <c r="E30" s="656"/>
      <c r="F30" s="656"/>
      <c r="G30" s="656"/>
      <c r="H30" s="656"/>
      <c r="I30" s="656"/>
      <c r="J30" s="656"/>
      <c r="K30" s="637"/>
      <c r="L30" s="637"/>
      <c r="M30" s="637"/>
      <c r="N30" s="637"/>
      <c r="O30" s="637"/>
      <c r="P30" s="637"/>
      <c r="Q30" s="637"/>
      <c r="R30" s="637"/>
      <c r="S30" s="637"/>
      <c r="T30" s="637"/>
      <c r="U30" s="637"/>
      <c r="V30" s="637"/>
      <c r="W30" s="637"/>
    </row>
  </sheetData>
  <mergeCells count="6">
    <mergeCell ref="A1:J1"/>
    <mergeCell ref="A2:J2"/>
    <mergeCell ref="A3:A4"/>
    <mergeCell ref="B3:B4"/>
    <mergeCell ref="C3:I3"/>
    <mergeCell ref="J3:J4"/>
  </mergeCells>
  <phoneticPr fontId="3" type="noConversion"/>
  <pageMargins left="0.62992125984251968" right="0" top="0.59055118110236227" bottom="0.28000000000000003" header="0" footer="0"/>
  <pageSetup paperSize="9" pageOrder="overThenDown" orientation="portrait" r:id="rId1"/>
  <headerFooter alignWithMargins="0"/>
</worksheet>
</file>

<file path=xl/worksheets/sheet69.xml><?xml version="1.0" encoding="utf-8"?>
<worksheet xmlns="http://schemas.openxmlformats.org/spreadsheetml/2006/main" xmlns:r="http://schemas.openxmlformats.org/officeDocument/2006/relationships">
  <dimension ref="A1:G27"/>
  <sheetViews>
    <sheetView view="pageBreakPreview" zoomScale="90" zoomScaleNormal="100" zoomScaleSheetLayoutView="90" workbookViewId="0">
      <pane xSplit="1" ySplit="3" topLeftCell="B4" activePane="bottomRight" state="frozen"/>
      <selection activeCell="E20" sqref="E20"/>
      <selection pane="topRight" activeCell="E20" sqref="E20"/>
      <selection pane="bottomLeft" activeCell="E20" sqref="E20"/>
      <selection pane="bottomRight" activeCell="E20" sqref="E20"/>
    </sheetView>
  </sheetViews>
  <sheetFormatPr defaultColWidth="11" defaultRowHeight="16.5"/>
  <cols>
    <col min="1" max="1" width="13.625" style="26" customWidth="1"/>
    <col min="2" max="5" width="16.625" style="1" customWidth="1"/>
    <col min="6" max="16384" width="11" style="15"/>
  </cols>
  <sheetData>
    <row r="1" spans="1:7" ht="33" customHeight="1">
      <c r="A1" s="778" t="s">
        <v>959</v>
      </c>
      <c r="B1" s="778"/>
      <c r="C1" s="778"/>
      <c r="D1" s="778"/>
      <c r="E1" s="778"/>
    </row>
    <row r="2" spans="1:7" ht="33" customHeight="1">
      <c r="A2" s="792" t="s">
        <v>960</v>
      </c>
      <c r="B2" s="792"/>
      <c r="C2" s="792"/>
      <c r="D2" s="792"/>
      <c r="E2" s="526" t="s">
        <v>961</v>
      </c>
    </row>
    <row r="3" spans="1:7" ht="45.75" customHeight="1">
      <c r="A3" s="521" t="s">
        <v>48</v>
      </c>
      <c r="B3" s="519" t="s">
        <v>49</v>
      </c>
      <c r="C3" s="520" t="s">
        <v>935</v>
      </c>
      <c r="D3" s="520" t="s">
        <v>936</v>
      </c>
      <c r="E3" s="523" t="s">
        <v>937</v>
      </c>
    </row>
    <row r="4" spans="1:7" ht="54.75" customHeight="1">
      <c r="A4" s="42" t="s">
        <v>49</v>
      </c>
      <c r="B4" s="670">
        <f>SUM(C4:E4)</f>
        <v>82</v>
      </c>
      <c r="C4" s="671">
        <f>SUM(C5:C14)</f>
        <v>10</v>
      </c>
      <c r="D4" s="671">
        <f>SUM(D5:D14)</f>
        <v>63</v>
      </c>
      <c r="E4" s="7">
        <f>SUM(E5:E14)</f>
        <v>9</v>
      </c>
      <c r="F4" s="118">
        <f>B4-'附錄5員額配置-OK'!D20</f>
        <v>0</v>
      </c>
      <c r="G4" s="118">
        <f>SUM(C4:E4)-B4</f>
        <v>0</v>
      </c>
    </row>
    <row r="5" spans="1:7" ht="55.15" customHeight="1">
      <c r="A5" s="309" t="s">
        <v>962</v>
      </c>
      <c r="B5" s="48">
        <f>SUM(C5:E5)</f>
        <v>0</v>
      </c>
      <c r="C5" s="7">
        <v>0</v>
      </c>
      <c r="D5" s="7">
        <v>0</v>
      </c>
      <c r="E5" s="7">
        <v>0</v>
      </c>
    </row>
    <row r="6" spans="1:7" ht="55.15" customHeight="1">
      <c r="A6" s="309" t="s">
        <v>963</v>
      </c>
      <c r="B6" s="48">
        <f t="shared" ref="B6:B14" si="0">SUM(C6:E6)</f>
        <v>1</v>
      </c>
      <c r="C6" s="7">
        <v>0</v>
      </c>
      <c r="D6" s="7">
        <v>1</v>
      </c>
      <c r="E6" s="7">
        <v>0</v>
      </c>
    </row>
    <row r="7" spans="1:7" ht="55.15" customHeight="1">
      <c r="A7" s="309" t="s">
        <v>964</v>
      </c>
      <c r="B7" s="48">
        <f t="shared" si="0"/>
        <v>0</v>
      </c>
      <c r="C7" s="7">
        <v>0</v>
      </c>
      <c r="D7" s="7">
        <v>0</v>
      </c>
      <c r="E7" s="7">
        <v>0</v>
      </c>
    </row>
    <row r="8" spans="1:7" ht="55.15" customHeight="1">
      <c r="A8" s="309" t="s">
        <v>965</v>
      </c>
      <c r="B8" s="48">
        <f t="shared" si="0"/>
        <v>12</v>
      </c>
      <c r="C8" s="7">
        <v>0</v>
      </c>
      <c r="D8" s="7">
        <v>11</v>
      </c>
      <c r="E8" s="7">
        <v>1</v>
      </c>
    </row>
    <row r="9" spans="1:7" ht="55.15" customHeight="1">
      <c r="A9" s="309" t="s">
        <v>966</v>
      </c>
      <c r="B9" s="48">
        <f t="shared" si="0"/>
        <v>6</v>
      </c>
      <c r="C9" s="7">
        <v>0</v>
      </c>
      <c r="D9" s="7">
        <v>6</v>
      </c>
      <c r="E9" s="7">
        <v>0</v>
      </c>
    </row>
    <row r="10" spans="1:7" ht="55.15" customHeight="1">
      <c r="A10" s="309" t="s">
        <v>967</v>
      </c>
      <c r="B10" s="48">
        <f t="shared" si="0"/>
        <v>26</v>
      </c>
      <c r="C10" s="7">
        <v>1</v>
      </c>
      <c r="D10" s="7">
        <v>21</v>
      </c>
      <c r="E10" s="7">
        <v>4</v>
      </c>
    </row>
    <row r="11" spans="1:7" ht="55.15" customHeight="1">
      <c r="A11" s="309" t="s">
        <v>968</v>
      </c>
      <c r="B11" s="48">
        <f t="shared" si="0"/>
        <v>30</v>
      </c>
      <c r="C11" s="7">
        <v>7</v>
      </c>
      <c r="D11" s="7">
        <v>19</v>
      </c>
      <c r="E11" s="7">
        <v>4</v>
      </c>
    </row>
    <row r="12" spans="1:7" ht="55.15" customHeight="1">
      <c r="A12" s="309" t="s">
        <v>969</v>
      </c>
      <c r="B12" s="48">
        <f t="shared" si="0"/>
        <v>4</v>
      </c>
      <c r="C12" s="9">
        <v>1</v>
      </c>
      <c r="D12" s="7">
        <v>3</v>
      </c>
      <c r="E12" s="7">
        <v>0</v>
      </c>
    </row>
    <row r="13" spans="1:7" ht="55.15" customHeight="1">
      <c r="A13" s="309" t="s">
        <v>970</v>
      </c>
      <c r="B13" s="48">
        <f t="shared" si="0"/>
        <v>3</v>
      </c>
      <c r="C13" s="7">
        <v>1</v>
      </c>
      <c r="D13" s="7">
        <v>2</v>
      </c>
      <c r="E13" s="7">
        <v>0</v>
      </c>
    </row>
    <row r="14" spans="1:7" ht="55.15" customHeight="1">
      <c r="A14" s="309" t="s">
        <v>971</v>
      </c>
      <c r="B14" s="48">
        <f t="shared" si="0"/>
        <v>0</v>
      </c>
      <c r="C14" s="7">
        <v>0</v>
      </c>
      <c r="D14" s="7">
        <v>0</v>
      </c>
      <c r="E14" s="7">
        <v>0</v>
      </c>
    </row>
    <row r="15" spans="1:7" ht="55.15" customHeight="1">
      <c r="A15" s="518" t="s">
        <v>94</v>
      </c>
      <c r="B15" s="672">
        <v>47</v>
      </c>
      <c r="C15" s="673">
        <v>52</v>
      </c>
      <c r="D15" s="673">
        <v>46.1</v>
      </c>
      <c r="E15" s="673">
        <v>47.7</v>
      </c>
    </row>
    <row r="16" spans="1:7" ht="20.100000000000001" customHeight="1">
      <c r="A16" s="524"/>
      <c r="B16" s="676">
        <f>B4-'附錄7考試類別-0'!B5</f>
        <v>0</v>
      </c>
      <c r="C16" s="676">
        <f>C4-'附錄7考試類別-0'!B6</f>
        <v>0</v>
      </c>
      <c r="D16" s="676">
        <f>D4-'附錄7考試類別-0'!B7</f>
        <v>0</v>
      </c>
      <c r="E16" s="676">
        <f>E4-'附錄7考試類別-0'!B8</f>
        <v>0</v>
      </c>
    </row>
    <row r="17" spans="1:5" ht="20.100000000000001" customHeight="1">
      <c r="A17" s="12"/>
      <c r="B17" s="12"/>
      <c r="C17" s="12"/>
      <c r="D17" s="12"/>
      <c r="E17" s="12"/>
    </row>
    <row r="27" spans="1:5">
      <c r="B27" s="140"/>
      <c r="C27" s="140"/>
    </row>
  </sheetData>
  <mergeCells count="2">
    <mergeCell ref="A1:E1"/>
    <mergeCell ref="A2:D2"/>
  </mergeCells>
  <phoneticPr fontId="3" type="noConversion"/>
  <pageMargins left="0.78740157480314965" right="0" top="0.59055118110236227" bottom="0.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indexed="13"/>
    <pageSetUpPr fitToPage="1"/>
  </sheetPr>
  <dimension ref="A1:H17"/>
  <sheetViews>
    <sheetView view="pageBreakPreview" zoomScaleNormal="90" zoomScaleSheetLayoutView="100" workbookViewId="0">
      <pane xSplit="1" ySplit="4" topLeftCell="B14" activePane="bottomRight" state="frozen"/>
      <selection activeCell="E20" sqref="E20"/>
      <selection pane="topRight" activeCell="E20" sqref="E20"/>
      <selection pane="bottomLeft" activeCell="E20" sqref="E20"/>
      <selection pane="bottomRight" activeCell="E20" sqref="E20"/>
    </sheetView>
  </sheetViews>
  <sheetFormatPr defaultColWidth="9" defaultRowHeight="16.5"/>
  <cols>
    <col min="1" max="1" width="13.125" style="26" customWidth="1"/>
    <col min="2" max="2" width="17.125" style="1" customWidth="1"/>
    <col min="3" max="3" width="22.625" style="1" customWidth="1"/>
    <col min="4" max="4" width="28" style="1" customWidth="1"/>
    <col min="5" max="16384" width="9" style="15"/>
  </cols>
  <sheetData>
    <row r="1" spans="1:8" ht="33" customHeight="1">
      <c r="A1" s="778" t="s">
        <v>243</v>
      </c>
      <c r="B1" s="778"/>
      <c r="C1" s="778"/>
      <c r="D1" s="778"/>
    </row>
    <row r="2" spans="1:8" ht="33" customHeight="1">
      <c r="A2" s="799" t="s">
        <v>393</v>
      </c>
      <c r="B2" s="807"/>
      <c r="C2" s="807"/>
      <c r="D2" s="807"/>
    </row>
    <row r="3" spans="1:8" ht="35.1" customHeight="1">
      <c r="A3" s="808" t="s">
        <v>48</v>
      </c>
      <c r="B3" s="810" t="s">
        <v>49</v>
      </c>
      <c r="C3" s="795" t="s">
        <v>81</v>
      </c>
      <c r="D3" s="812"/>
    </row>
    <row r="4" spans="1:8" ht="35.1" customHeight="1">
      <c r="A4" s="809"/>
      <c r="B4" s="811"/>
      <c r="C4" s="694" t="s">
        <v>244</v>
      </c>
      <c r="D4" s="696" t="s">
        <v>245</v>
      </c>
      <c r="E4" s="61" t="s">
        <v>358</v>
      </c>
      <c r="F4" s="61" t="s">
        <v>423</v>
      </c>
    </row>
    <row r="5" spans="1:8" ht="56.25" customHeight="1">
      <c r="A5" s="701" t="s">
        <v>61</v>
      </c>
      <c r="B5" s="5">
        <f>SUM(B7:B16)</f>
        <v>32680</v>
      </c>
      <c r="C5" s="5">
        <f>SUM(C7:C16)</f>
        <v>28585</v>
      </c>
      <c r="D5" s="5">
        <f>SUM(D7:D16)</f>
        <v>4095</v>
      </c>
      <c r="E5" s="118">
        <f>B5-'[5]6歷年退離(政)-OK'!N6-'[5]7歷年退離(公)-OK'!O6-'[5]8歷年退離(教)-OK'!O6-'[5]9歷年退離(軍)-OK'!M6</f>
        <v>0</v>
      </c>
      <c r="F5" s="118">
        <f>SUM(B5:D15)-SUM(B16:D16)-SUM('[4]5歷年離退-OK'!$B$5:$D$15)+SUM('[4]5歷年離退-OK'!$B$6:$D$6)</f>
        <v>0</v>
      </c>
    </row>
    <row r="6" spans="1:8" ht="56.25" hidden="1" customHeight="1">
      <c r="A6" s="701" t="s">
        <v>2</v>
      </c>
      <c r="B6" s="7">
        <f t="shared" ref="B6:B11" si="0">SUM(C6:D6)</f>
        <v>1462</v>
      </c>
      <c r="C6" s="7">
        <v>1352</v>
      </c>
      <c r="D6" s="7">
        <v>110</v>
      </c>
    </row>
    <row r="7" spans="1:8" ht="56.25" customHeight="1">
      <c r="A7" s="701" t="s">
        <v>3</v>
      </c>
      <c r="B7" s="7">
        <f t="shared" si="0"/>
        <v>2930</v>
      </c>
      <c r="C7" s="7">
        <v>2808</v>
      </c>
      <c r="D7" s="7">
        <v>122</v>
      </c>
      <c r="E7" s="118"/>
      <c r="F7" s="118"/>
      <c r="G7" s="118"/>
      <c r="H7" s="118"/>
    </row>
    <row r="8" spans="1:8" ht="56.25" customHeight="1">
      <c r="A8" s="701" t="s">
        <v>4</v>
      </c>
      <c r="B8" s="7">
        <f t="shared" si="0"/>
        <v>3152</v>
      </c>
      <c r="C8" s="7">
        <v>2908</v>
      </c>
      <c r="D8" s="7">
        <v>244</v>
      </c>
      <c r="F8" s="118"/>
      <c r="G8" s="118"/>
      <c r="H8" s="118"/>
    </row>
    <row r="9" spans="1:8" ht="56.25" customHeight="1">
      <c r="A9" s="701" t="s">
        <v>5</v>
      </c>
      <c r="B9" s="7">
        <f t="shared" si="0"/>
        <v>2176</v>
      </c>
      <c r="C9" s="7">
        <v>1864</v>
      </c>
      <c r="D9" s="7">
        <v>312</v>
      </c>
      <c r="F9" s="118"/>
      <c r="G9" s="118"/>
      <c r="H9" s="118"/>
    </row>
    <row r="10" spans="1:8" ht="56.25" customHeight="1">
      <c r="A10" s="701" t="s">
        <v>6</v>
      </c>
      <c r="B10" s="7">
        <f t="shared" si="0"/>
        <v>2007</v>
      </c>
      <c r="C10" s="7">
        <v>1703</v>
      </c>
      <c r="D10" s="7">
        <v>304</v>
      </c>
      <c r="F10" s="118"/>
      <c r="G10" s="118"/>
      <c r="H10" s="118"/>
    </row>
    <row r="11" spans="1:8" ht="56.25" customHeight="1">
      <c r="A11" s="701" t="s">
        <v>246</v>
      </c>
      <c r="B11" s="7">
        <f t="shared" si="0"/>
        <v>1988</v>
      </c>
      <c r="C11" s="7">
        <v>1643</v>
      </c>
      <c r="D11" s="7">
        <v>345</v>
      </c>
      <c r="F11" s="118"/>
      <c r="G11" s="118"/>
      <c r="H11" s="118"/>
    </row>
    <row r="12" spans="1:8" ht="56.25" customHeight="1">
      <c r="A12" s="701" t="s">
        <v>55</v>
      </c>
      <c r="B12" s="7">
        <f>SUM(C12:D12)</f>
        <v>2895</v>
      </c>
      <c r="C12" s="7">
        <v>2452</v>
      </c>
      <c r="D12" s="7">
        <v>443</v>
      </c>
      <c r="F12" s="118"/>
      <c r="G12" s="118"/>
      <c r="H12" s="118"/>
    </row>
    <row r="13" spans="1:8" ht="56.25" customHeight="1">
      <c r="A13" s="701" t="s">
        <v>99</v>
      </c>
      <c r="B13" s="7">
        <f>SUM(C13:D13)</f>
        <v>4515</v>
      </c>
      <c r="C13" s="7">
        <v>3985</v>
      </c>
      <c r="D13" s="7">
        <v>530</v>
      </c>
      <c r="F13" s="118"/>
      <c r="G13" s="118"/>
      <c r="H13" s="118"/>
    </row>
    <row r="14" spans="1:8" ht="56.25" customHeight="1">
      <c r="A14" s="701" t="s">
        <v>188</v>
      </c>
      <c r="B14" s="7">
        <f>SUM(C14:D14)</f>
        <v>4664</v>
      </c>
      <c r="C14" s="7">
        <v>4017</v>
      </c>
      <c r="D14" s="7">
        <v>647</v>
      </c>
      <c r="F14" s="118"/>
      <c r="G14" s="118"/>
      <c r="H14" s="118"/>
    </row>
    <row r="15" spans="1:8" ht="56.25" customHeight="1">
      <c r="A15" s="701" t="s">
        <v>189</v>
      </c>
      <c r="B15" s="7">
        <f>SUM(C15:D15)</f>
        <v>4199</v>
      </c>
      <c r="C15" s="7">
        <f>663+240+2302</f>
        <v>3205</v>
      </c>
      <c r="D15" s="7">
        <f>953+41</f>
        <v>994</v>
      </c>
      <c r="F15" s="118"/>
      <c r="G15" s="118"/>
      <c r="H15" s="118"/>
    </row>
    <row r="16" spans="1:8" ht="56.25" customHeight="1">
      <c r="A16" s="701" t="s">
        <v>367</v>
      </c>
      <c r="B16" s="7">
        <v>4154</v>
      </c>
      <c r="C16" s="27">
        <v>4000</v>
      </c>
      <c r="D16" s="27">
        <v>154</v>
      </c>
      <c r="F16" s="118"/>
      <c r="G16" s="118"/>
      <c r="H16" s="118"/>
    </row>
    <row r="17" spans="1:4" s="28" customFormat="1" ht="17.100000000000001" customHeight="1">
      <c r="A17" s="700" t="s">
        <v>234</v>
      </c>
      <c r="B17" s="700"/>
      <c r="C17" s="700"/>
      <c r="D17" s="700"/>
    </row>
  </sheetData>
  <mergeCells count="5">
    <mergeCell ref="A1:D1"/>
    <mergeCell ref="A2:D2"/>
    <mergeCell ref="A3:A4"/>
    <mergeCell ref="B3:B4"/>
    <mergeCell ref="C3:D3"/>
  </mergeCells>
  <phoneticPr fontId="3" type="noConversion"/>
  <pageMargins left="0.62992125984251968" right="0" top="0.59055118110236227" bottom="0.46" header="0" footer="0"/>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dimension ref="A1:F27"/>
  <sheetViews>
    <sheetView view="pageBreakPreview" zoomScale="90" zoomScaleNormal="100" zoomScaleSheetLayoutView="90" workbookViewId="0">
      <pane xSplit="1" ySplit="3" topLeftCell="B4" activePane="bottomRight" state="frozen"/>
      <selection activeCell="E20" sqref="E20"/>
      <selection pane="topRight" activeCell="E20" sqref="E20"/>
      <selection pane="bottomLeft" activeCell="E20" sqref="E20"/>
      <selection pane="bottomRight" activeCell="E20" sqref="E20"/>
    </sheetView>
  </sheetViews>
  <sheetFormatPr defaultColWidth="11" defaultRowHeight="16.5"/>
  <cols>
    <col min="1" max="1" width="13.625" style="26" customWidth="1"/>
    <col min="2" max="5" width="16.625" style="1" customWidth="1"/>
    <col min="6" max="16384" width="11" style="15"/>
  </cols>
  <sheetData>
    <row r="1" spans="1:6" ht="33" customHeight="1">
      <c r="A1" s="778" t="s">
        <v>972</v>
      </c>
      <c r="B1" s="778"/>
      <c r="C1" s="778"/>
      <c r="D1" s="778"/>
      <c r="E1" s="778"/>
    </row>
    <row r="2" spans="1:6" ht="33" customHeight="1">
      <c r="A2" s="792" t="s">
        <v>982</v>
      </c>
      <c r="B2" s="792"/>
      <c r="C2" s="792"/>
      <c r="D2" s="792"/>
      <c r="E2" s="526" t="s">
        <v>973</v>
      </c>
    </row>
    <row r="3" spans="1:6" ht="45.75" customHeight="1">
      <c r="A3" s="521" t="s">
        <v>48</v>
      </c>
      <c r="B3" s="519" t="s">
        <v>49</v>
      </c>
      <c r="C3" s="520" t="s">
        <v>935</v>
      </c>
      <c r="D3" s="520" t="s">
        <v>936</v>
      </c>
      <c r="E3" s="523" t="s">
        <v>937</v>
      </c>
    </row>
    <row r="4" spans="1:6" ht="71.650000000000006" customHeight="1">
      <c r="A4" s="42" t="s">
        <v>49</v>
      </c>
      <c r="B4" s="670">
        <f>SUM(B5:B11)</f>
        <v>82</v>
      </c>
      <c r="C4" s="671">
        <f>SUM(C5:C11)</f>
        <v>10</v>
      </c>
      <c r="D4" s="671">
        <f>SUM(D5:D11)</f>
        <v>63</v>
      </c>
      <c r="E4" s="671">
        <f>SUM(E5:E11)</f>
        <v>9</v>
      </c>
      <c r="F4" s="118">
        <f>B4-'附錄5員額配置-OK'!D20</f>
        <v>0</v>
      </c>
    </row>
    <row r="5" spans="1:6" ht="72" customHeight="1">
      <c r="A5" s="309" t="s">
        <v>974</v>
      </c>
      <c r="B5" s="48">
        <f>SUM(C5:E5)</f>
        <v>4</v>
      </c>
      <c r="C5" s="7">
        <v>0</v>
      </c>
      <c r="D5" s="7">
        <v>1</v>
      </c>
      <c r="E5" s="7">
        <v>3</v>
      </c>
    </row>
    <row r="6" spans="1:6" ht="72" customHeight="1">
      <c r="A6" s="309" t="s">
        <v>975</v>
      </c>
      <c r="B6" s="48">
        <f t="shared" ref="B6:B11" si="0">SUM(C6:E6)</f>
        <v>8</v>
      </c>
      <c r="C6" s="7">
        <v>0</v>
      </c>
      <c r="D6" s="7">
        <v>6</v>
      </c>
      <c r="E6" s="7">
        <v>2</v>
      </c>
    </row>
    <row r="7" spans="1:6" ht="72" customHeight="1">
      <c r="A7" s="309" t="s">
        <v>976</v>
      </c>
      <c r="B7" s="48">
        <f t="shared" si="0"/>
        <v>24</v>
      </c>
      <c r="C7" s="7">
        <v>0</v>
      </c>
      <c r="D7" s="7">
        <v>22</v>
      </c>
      <c r="E7" s="7">
        <v>2</v>
      </c>
    </row>
    <row r="8" spans="1:6" ht="72" customHeight="1">
      <c r="A8" s="309" t="s">
        <v>977</v>
      </c>
      <c r="B8" s="48">
        <f t="shared" si="0"/>
        <v>9</v>
      </c>
      <c r="C8" s="7">
        <v>1</v>
      </c>
      <c r="D8" s="7">
        <v>7</v>
      </c>
      <c r="E8" s="7">
        <v>1</v>
      </c>
    </row>
    <row r="9" spans="1:6" ht="72" customHeight="1">
      <c r="A9" s="309" t="s">
        <v>978</v>
      </c>
      <c r="B9" s="48">
        <f t="shared" si="0"/>
        <v>14</v>
      </c>
      <c r="C9" s="7">
        <v>3</v>
      </c>
      <c r="D9" s="7">
        <v>10</v>
      </c>
      <c r="E9" s="7">
        <v>1</v>
      </c>
    </row>
    <row r="10" spans="1:6" ht="72" customHeight="1">
      <c r="A10" s="309" t="s">
        <v>979</v>
      </c>
      <c r="B10" s="48">
        <f t="shared" si="0"/>
        <v>19</v>
      </c>
      <c r="C10" s="7">
        <v>4</v>
      </c>
      <c r="D10" s="7">
        <v>15</v>
      </c>
      <c r="E10" s="7">
        <v>0</v>
      </c>
    </row>
    <row r="11" spans="1:6" ht="72" customHeight="1">
      <c r="A11" s="312" t="s">
        <v>980</v>
      </c>
      <c r="B11" s="48">
        <f t="shared" si="0"/>
        <v>4</v>
      </c>
      <c r="C11" s="27">
        <v>2</v>
      </c>
      <c r="D11" s="27">
        <v>2</v>
      </c>
      <c r="E11" s="27">
        <v>0</v>
      </c>
    </row>
    <row r="12" spans="1:6" ht="72" customHeight="1">
      <c r="A12" s="518" t="s">
        <v>981</v>
      </c>
      <c r="B12" s="674">
        <v>17.850000000000001</v>
      </c>
      <c r="C12" s="673">
        <v>26</v>
      </c>
      <c r="D12" s="675">
        <v>17.73</v>
      </c>
      <c r="E12" s="675">
        <v>9.67</v>
      </c>
    </row>
    <row r="13" spans="1:6" ht="20.100000000000001" customHeight="1">
      <c r="A13" s="12"/>
      <c r="B13" s="175">
        <f>B4-'附錄8年齡分布-OK'!B4</f>
        <v>0</v>
      </c>
      <c r="C13" s="175">
        <f>C4-'附錄8年齡分布-OK'!C4</f>
        <v>0</v>
      </c>
      <c r="D13" s="175">
        <f>D4-'附錄8年齡分布-OK'!D4</f>
        <v>0</v>
      </c>
      <c r="E13" s="175">
        <f>E4-'附錄8年齡分布-OK'!E4</f>
        <v>0</v>
      </c>
    </row>
    <row r="27" spans="2:3">
      <c r="B27" s="140"/>
      <c r="C27" s="140"/>
    </row>
  </sheetData>
  <mergeCells count="2">
    <mergeCell ref="A1:E1"/>
    <mergeCell ref="A2:D2"/>
  </mergeCells>
  <phoneticPr fontId="3" type="noConversion"/>
  <pageMargins left="0.78740157480314965" right="0" top="0.59055118110236227" bottom="0.78740157480314965" header="0" footer="0"/>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rgb="FFFF0000"/>
  </sheetPr>
  <dimension ref="A1:AE20"/>
  <sheetViews>
    <sheetView view="pageBreakPreview" zoomScale="75" zoomScaleNormal="100" zoomScaleSheetLayoutView="75" workbookViewId="0">
      <pane xSplit="1" ySplit="5" topLeftCell="B15" activePane="bottomRight" state="frozen"/>
      <selection activeCell="E20" sqref="E20"/>
      <selection pane="topRight" activeCell="E20" sqref="E20"/>
      <selection pane="bottomLeft" activeCell="E20" sqref="E20"/>
      <selection pane="bottomRight" activeCell="E20" sqref="E20"/>
    </sheetView>
  </sheetViews>
  <sheetFormatPr defaultColWidth="6.5" defaultRowHeight="74.25" customHeight="1"/>
  <cols>
    <col min="1" max="1" width="8.125" style="14" customWidth="1"/>
    <col min="2" max="2" width="11.875" style="1" customWidth="1"/>
    <col min="3" max="3" width="9" style="1" customWidth="1"/>
    <col min="4" max="6" width="14.125" style="1" customWidth="1"/>
    <col min="7" max="7" width="11.5" style="1" customWidth="1"/>
    <col min="8" max="8" width="7.25" style="1" customWidth="1"/>
    <col min="9" max="9" width="12.625" style="1" customWidth="1"/>
    <col min="10" max="10" width="17" style="1" customWidth="1"/>
    <col min="11" max="11" width="6.125" style="1" customWidth="1"/>
    <col min="12" max="12" width="12.375" style="1" customWidth="1"/>
    <col min="13" max="13" width="18" style="1" customWidth="1"/>
    <col min="14" max="14" width="12.875" style="1" customWidth="1"/>
    <col min="15" max="15" width="6.875" style="1" bestFit="1" customWidth="1"/>
    <col min="16" max="16384" width="6.5" style="1"/>
  </cols>
  <sheetData>
    <row r="1" spans="1:31" ht="33" customHeight="1">
      <c r="A1" s="787" t="s">
        <v>247</v>
      </c>
      <c r="B1" s="787"/>
      <c r="C1" s="787"/>
      <c r="D1" s="787"/>
      <c r="E1" s="787"/>
      <c r="F1" s="787"/>
      <c r="G1" s="787"/>
      <c r="H1" s="813" t="s">
        <v>248</v>
      </c>
      <c r="I1" s="813"/>
      <c r="J1" s="813"/>
      <c r="K1" s="813"/>
      <c r="L1" s="813"/>
      <c r="M1" s="813"/>
      <c r="N1" s="813"/>
    </row>
    <row r="2" spans="1:31" s="2" customFormat="1" ht="33" customHeight="1">
      <c r="A2" s="788" t="s">
        <v>394</v>
      </c>
      <c r="B2" s="788"/>
      <c r="C2" s="788"/>
      <c r="D2" s="788"/>
      <c r="E2" s="788"/>
      <c r="F2" s="788"/>
      <c r="G2" s="788"/>
      <c r="H2" s="814" t="s">
        <v>395</v>
      </c>
      <c r="I2" s="814"/>
      <c r="J2" s="814"/>
      <c r="K2" s="814"/>
      <c r="L2" s="814"/>
      <c r="M2" s="814"/>
      <c r="N2" s="115" t="s">
        <v>9</v>
      </c>
    </row>
    <row r="3" spans="1:31" s="2" customFormat="1" ht="29.25" customHeight="1">
      <c r="A3" s="793" t="s">
        <v>222</v>
      </c>
      <c r="B3" s="811" t="s">
        <v>223</v>
      </c>
      <c r="C3" s="796" t="s">
        <v>249</v>
      </c>
      <c r="D3" s="825"/>
      <c r="E3" s="825"/>
      <c r="F3" s="811"/>
      <c r="G3" s="822" t="s">
        <v>250</v>
      </c>
      <c r="H3" s="826"/>
      <c r="I3" s="826"/>
      <c r="J3" s="826"/>
      <c r="K3" s="826"/>
      <c r="L3" s="826"/>
      <c r="M3" s="827"/>
      <c r="N3" s="796" t="s">
        <v>251</v>
      </c>
      <c r="O3" s="3"/>
    </row>
    <row r="4" spans="1:31" s="2" customFormat="1" ht="29.25" customHeight="1">
      <c r="A4" s="793"/>
      <c r="B4" s="811"/>
      <c r="C4" s="819" t="s">
        <v>226</v>
      </c>
      <c r="D4" s="817" t="s">
        <v>252</v>
      </c>
      <c r="E4" s="819" t="s">
        <v>253</v>
      </c>
      <c r="F4" s="821" t="s">
        <v>254</v>
      </c>
      <c r="G4" s="822" t="s">
        <v>255</v>
      </c>
      <c r="H4" s="824" t="s">
        <v>256</v>
      </c>
      <c r="I4" s="824"/>
      <c r="J4" s="793"/>
      <c r="K4" s="812" t="s">
        <v>257</v>
      </c>
      <c r="L4" s="824"/>
      <c r="M4" s="793"/>
      <c r="N4" s="796"/>
      <c r="O4" s="3"/>
    </row>
    <row r="5" spans="1:31" s="2" customFormat="1" ht="39.200000000000003" customHeight="1">
      <c r="A5" s="793"/>
      <c r="B5" s="811"/>
      <c r="C5" s="820"/>
      <c r="D5" s="818"/>
      <c r="E5" s="820"/>
      <c r="F5" s="818"/>
      <c r="G5" s="823"/>
      <c r="H5" s="109" t="s">
        <v>259</v>
      </c>
      <c r="I5" s="101" t="s">
        <v>260</v>
      </c>
      <c r="J5" s="99" t="s">
        <v>346</v>
      </c>
      <c r="K5" s="101" t="s">
        <v>259</v>
      </c>
      <c r="L5" s="101" t="s">
        <v>10</v>
      </c>
      <c r="M5" s="99" t="s">
        <v>346</v>
      </c>
      <c r="N5" s="796"/>
      <c r="O5" s="61" t="s">
        <v>423</v>
      </c>
    </row>
    <row r="6" spans="1:31" s="2" customFormat="1" ht="53.1" customHeight="1">
      <c r="A6" s="114" t="s">
        <v>230</v>
      </c>
      <c r="B6" s="5">
        <f>SUM(B8:B17)</f>
        <v>13</v>
      </c>
      <c r="C6" s="5">
        <f t="shared" ref="C6:N6" si="0">SUM(C8:C17)</f>
        <v>10</v>
      </c>
      <c r="D6" s="5">
        <f t="shared" si="0"/>
        <v>2</v>
      </c>
      <c r="E6" s="5">
        <f t="shared" si="0"/>
        <v>4</v>
      </c>
      <c r="F6" s="5">
        <f t="shared" si="0"/>
        <v>4</v>
      </c>
      <c r="G6" s="5">
        <f t="shared" si="0"/>
        <v>0</v>
      </c>
      <c r="H6" s="5">
        <f t="shared" si="0"/>
        <v>0</v>
      </c>
      <c r="I6" s="5">
        <f t="shared" si="0"/>
        <v>0</v>
      </c>
      <c r="J6" s="5">
        <f t="shared" si="0"/>
        <v>0</v>
      </c>
      <c r="K6" s="5">
        <f t="shared" si="0"/>
        <v>0</v>
      </c>
      <c r="L6" s="5">
        <f t="shared" si="0"/>
        <v>0</v>
      </c>
      <c r="M6" s="5">
        <f t="shared" si="0"/>
        <v>0</v>
      </c>
      <c r="N6" s="5">
        <f t="shared" si="0"/>
        <v>3</v>
      </c>
      <c r="O6" s="119">
        <f>B6-B17-'[4]6歷年退離(政)-OK'!B6+'[4]6歷年退離(政)-OK'!B7</f>
        <v>0</v>
      </c>
      <c r="P6" s="119">
        <f>C6-C17-'[4]6歷年退離(政)-OK'!C6+'[4]6歷年退離(政)-OK'!C7</f>
        <v>0</v>
      </c>
      <c r="Q6" s="119">
        <f>D6-D17-'[4]6歷年退離(政)-OK'!D6+'[4]6歷年退離(政)-OK'!D7</f>
        <v>0</v>
      </c>
      <c r="R6" s="119">
        <f>E6-E17-'[4]6歷年退離(政)-OK'!E6+'[4]6歷年退離(政)-OK'!E7</f>
        <v>0</v>
      </c>
      <c r="S6" s="119">
        <f>F6-F17-'[4]6歷年退離(政)-OK'!F6+'[4]6歷年退離(政)-OK'!F7</f>
        <v>0</v>
      </c>
      <c r="T6" s="119">
        <f>G6-G17-'[4]6歷年退離(政)-OK'!G6+'[4]6歷年退離(政)-OK'!G7</f>
        <v>0</v>
      </c>
      <c r="U6" s="119">
        <f>H6-H17-'[4]6歷年退離(政)-OK'!H6+'[4]6歷年退離(政)-OK'!H7</f>
        <v>0</v>
      </c>
      <c r="V6" s="119">
        <f>I6-I17-'[4]6歷年退離(政)-OK'!I6+'[4]6歷年退離(政)-OK'!I7</f>
        <v>0</v>
      </c>
      <c r="W6" s="119">
        <f>J6-J17-'[4]6歷年退離(政)-OK'!J6+'[4]6歷年退離(政)-OK'!J7</f>
        <v>0</v>
      </c>
      <c r="X6" s="119">
        <f>K6-K17-'[4]6歷年退離(政)-OK'!K6+'[4]6歷年退離(政)-OK'!K7</f>
        <v>0</v>
      </c>
      <c r="Y6" s="119">
        <f>L6-L17-'[4]6歷年退離(政)-OK'!L6+'[4]6歷年退離(政)-OK'!L7</f>
        <v>0</v>
      </c>
      <c r="Z6" s="119">
        <f>M6-M17-'[4]6歷年退離(政)-OK'!M6+'[4]6歷年退離(政)-OK'!M7</f>
        <v>0</v>
      </c>
      <c r="AA6" s="119">
        <f>N6-N17-'[4]6歷年退離(政)-OK'!N6+'[4]6歷年退離(政)-OK'!N7</f>
        <v>0</v>
      </c>
      <c r="AB6" s="119"/>
      <c r="AC6" s="119"/>
      <c r="AD6" s="119"/>
      <c r="AE6" s="119"/>
    </row>
    <row r="7" spans="1:31" s="8" customFormat="1" ht="53.1" hidden="1" customHeight="1">
      <c r="A7" s="114" t="s">
        <v>2</v>
      </c>
      <c r="B7" s="5">
        <f t="shared" ref="B7:B17" si="1">C7+G7+N7</f>
        <v>5</v>
      </c>
      <c r="C7" s="5">
        <f t="shared" ref="C7:C12" si="2">SUM(D7:F7)</f>
        <v>3</v>
      </c>
      <c r="D7" s="7">
        <v>1</v>
      </c>
      <c r="E7" s="7">
        <v>2</v>
      </c>
      <c r="F7" s="7">
        <v>0</v>
      </c>
      <c r="G7" s="5">
        <f>H7+K7</f>
        <v>1</v>
      </c>
      <c r="H7" s="7">
        <f>SUM(I7:J7)</f>
        <v>1</v>
      </c>
      <c r="I7" s="7">
        <v>1</v>
      </c>
      <c r="J7" s="7">
        <v>0</v>
      </c>
      <c r="K7" s="7">
        <f>SUM(L7:M7)</f>
        <v>0</v>
      </c>
      <c r="L7" s="7">
        <v>0</v>
      </c>
      <c r="M7" s="7">
        <v>0</v>
      </c>
      <c r="N7" s="7">
        <v>1</v>
      </c>
      <c r="O7" s="89"/>
      <c r="P7" s="89"/>
      <c r="Q7" s="89"/>
      <c r="R7" s="89"/>
      <c r="S7" s="89"/>
      <c r="T7" s="89"/>
      <c r="U7" s="89"/>
      <c r="V7" s="89"/>
      <c r="W7" s="89"/>
      <c r="X7" s="89"/>
      <c r="Y7" s="89"/>
      <c r="Z7" s="89"/>
      <c r="AA7" s="89"/>
    </row>
    <row r="8" spans="1:31" s="8" customFormat="1" ht="53.1" customHeight="1">
      <c r="A8" s="114" t="s">
        <v>3</v>
      </c>
      <c r="B8" s="5">
        <f t="shared" si="1"/>
        <v>3</v>
      </c>
      <c r="C8" s="5">
        <f t="shared" si="2"/>
        <v>2</v>
      </c>
      <c r="D8" s="7">
        <v>1</v>
      </c>
      <c r="E8" s="7">
        <v>0</v>
      </c>
      <c r="F8" s="7">
        <v>1</v>
      </c>
      <c r="G8" s="5">
        <f>H8+K8</f>
        <v>0</v>
      </c>
      <c r="H8" s="7">
        <f>SUM(I8:J8)</f>
        <v>0</v>
      </c>
      <c r="I8" s="7">
        <v>0</v>
      </c>
      <c r="J8" s="7">
        <v>0</v>
      </c>
      <c r="K8" s="7">
        <f>SUM(L8:M8)</f>
        <v>0</v>
      </c>
      <c r="L8" s="7">
        <v>0</v>
      </c>
      <c r="M8" s="7">
        <v>0</v>
      </c>
      <c r="N8" s="7">
        <v>1</v>
      </c>
      <c r="O8" s="89">
        <f>B8-'[4]6歷年退離(政)-OK'!B8</f>
        <v>0</v>
      </c>
      <c r="P8" s="89">
        <f>C8-'[4]6歷年退離(政)-OK'!C8</f>
        <v>0</v>
      </c>
      <c r="Q8" s="89">
        <f>D8-'[4]6歷年退離(政)-OK'!D8</f>
        <v>0</v>
      </c>
      <c r="R8" s="89">
        <f>E8-'[4]6歷年退離(政)-OK'!E8</f>
        <v>0</v>
      </c>
      <c r="S8" s="89">
        <f>F8-'[4]6歷年退離(政)-OK'!F8</f>
        <v>0</v>
      </c>
      <c r="T8" s="89">
        <f>G8-'[4]6歷年退離(政)-OK'!G8</f>
        <v>0</v>
      </c>
      <c r="U8" s="89">
        <f>H8-'[4]6歷年退離(政)-OK'!H8</f>
        <v>0</v>
      </c>
      <c r="V8" s="89">
        <f>I8-'[4]6歷年退離(政)-OK'!I8</f>
        <v>0</v>
      </c>
      <c r="W8" s="89">
        <f>J8-'[4]6歷年退離(政)-OK'!J8</f>
        <v>0</v>
      </c>
      <c r="X8" s="89">
        <f>K8-'[4]6歷年退離(政)-OK'!K8</f>
        <v>0</v>
      </c>
      <c r="Y8" s="89">
        <f>L8-'[4]6歷年退離(政)-OK'!L8</f>
        <v>0</v>
      </c>
      <c r="Z8" s="89">
        <f>M8-'[4]6歷年退離(政)-OK'!M8</f>
        <v>0</v>
      </c>
      <c r="AA8" s="89">
        <f>N8-'[4]6歷年退離(政)-OK'!N8</f>
        <v>0</v>
      </c>
    </row>
    <row r="9" spans="1:31" s="8" customFormat="1" ht="53.1" customHeight="1">
      <c r="A9" s="114" t="s">
        <v>4</v>
      </c>
      <c r="B9" s="5">
        <f t="shared" si="1"/>
        <v>3</v>
      </c>
      <c r="C9" s="5">
        <f t="shared" si="2"/>
        <v>3</v>
      </c>
      <c r="D9" s="7">
        <v>0</v>
      </c>
      <c r="E9" s="7">
        <v>1</v>
      </c>
      <c r="F9" s="7">
        <v>2</v>
      </c>
      <c r="G9" s="5">
        <f>H9+K9</f>
        <v>0</v>
      </c>
      <c r="H9" s="7">
        <f>SUM(I9:J9)</f>
        <v>0</v>
      </c>
      <c r="I9" s="7">
        <v>0</v>
      </c>
      <c r="J9" s="7">
        <v>0</v>
      </c>
      <c r="K9" s="7">
        <f>SUM(L9:M9)</f>
        <v>0</v>
      </c>
      <c r="L9" s="7">
        <v>0</v>
      </c>
      <c r="M9" s="7">
        <v>0</v>
      </c>
      <c r="N9" s="7">
        <v>0</v>
      </c>
      <c r="O9" s="89">
        <f>B9-'[4]6歷年退離(政)-OK'!B9</f>
        <v>0</v>
      </c>
      <c r="P9" s="89">
        <f>C9-'[4]6歷年退離(政)-OK'!C9</f>
        <v>0</v>
      </c>
      <c r="Q9" s="89">
        <f>D9-'[4]6歷年退離(政)-OK'!D9</f>
        <v>0</v>
      </c>
      <c r="R9" s="89">
        <f>E9-'[4]6歷年退離(政)-OK'!E9</f>
        <v>0</v>
      </c>
      <c r="S9" s="89">
        <f>F9-'[4]6歷年退離(政)-OK'!F9</f>
        <v>0</v>
      </c>
      <c r="T9" s="89">
        <f>G9-'[4]6歷年退離(政)-OK'!G9</f>
        <v>0</v>
      </c>
      <c r="U9" s="89">
        <f>H9-'[4]6歷年退離(政)-OK'!H9</f>
        <v>0</v>
      </c>
      <c r="V9" s="89">
        <f>I9-'[4]6歷年退離(政)-OK'!I9</f>
        <v>0</v>
      </c>
      <c r="W9" s="89">
        <f>J9-'[4]6歷年退離(政)-OK'!J9</f>
        <v>0</v>
      </c>
      <c r="X9" s="89">
        <f>K9-'[4]6歷年退離(政)-OK'!K9</f>
        <v>0</v>
      </c>
      <c r="Y9" s="89">
        <f>L9-'[4]6歷年退離(政)-OK'!L9</f>
        <v>0</v>
      </c>
      <c r="Z9" s="89">
        <f>M9-'[4]6歷年退離(政)-OK'!M9</f>
        <v>0</v>
      </c>
      <c r="AA9" s="89">
        <f>N9-'[4]6歷年退離(政)-OK'!N9</f>
        <v>0</v>
      </c>
    </row>
    <row r="10" spans="1:31" s="8" customFormat="1" ht="53.1" customHeight="1">
      <c r="A10" s="114" t="s">
        <v>5</v>
      </c>
      <c r="B10" s="5">
        <f t="shared" si="1"/>
        <v>3</v>
      </c>
      <c r="C10" s="5">
        <f t="shared" si="2"/>
        <v>2</v>
      </c>
      <c r="D10" s="7">
        <v>0</v>
      </c>
      <c r="E10" s="7">
        <v>1</v>
      </c>
      <c r="F10" s="7">
        <v>1</v>
      </c>
      <c r="G10" s="5">
        <f t="shared" ref="G10:G15" si="3">H10+K10</f>
        <v>0</v>
      </c>
      <c r="H10" s="7">
        <f t="shared" ref="H10:H15" si="4">SUM(I10:J10)</f>
        <v>0</v>
      </c>
      <c r="I10" s="7">
        <v>0</v>
      </c>
      <c r="J10" s="7">
        <v>0</v>
      </c>
      <c r="K10" s="7">
        <f t="shared" ref="K10:K15" si="5">SUM(L10:M10)</f>
        <v>0</v>
      </c>
      <c r="L10" s="7">
        <v>0</v>
      </c>
      <c r="M10" s="7">
        <v>0</v>
      </c>
      <c r="N10" s="7">
        <v>1</v>
      </c>
      <c r="O10" s="89">
        <f>B10-'[4]6歷年退離(政)-OK'!B10</f>
        <v>0</v>
      </c>
      <c r="P10" s="89">
        <f>C10-'[4]6歷年退離(政)-OK'!C10</f>
        <v>0</v>
      </c>
      <c r="Q10" s="89">
        <f>D10-'[4]6歷年退離(政)-OK'!D10</f>
        <v>0</v>
      </c>
      <c r="R10" s="89">
        <f>E10-'[4]6歷年退離(政)-OK'!E10</f>
        <v>0</v>
      </c>
      <c r="S10" s="89">
        <f>F10-'[4]6歷年退離(政)-OK'!F10</f>
        <v>0</v>
      </c>
      <c r="T10" s="89">
        <f>G10-'[4]6歷年退離(政)-OK'!G10</f>
        <v>0</v>
      </c>
      <c r="U10" s="89">
        <f>H10-'[4]6歷年退離(政)-OK'!H10</f>
        <v>0</v>
      </c>
      <c r="V10" s="89">
        <f>I10-'[4]6歷年退離(政)-OK'!I10</f>
        <v>0</v>
      </c>
      <c r="W10" s="89">
        <f>J10-'[4]6歷年退離(政)-OK'!J10</f>
        <v>0</v>
      </c>
      <c r="X10" s="89">
        <f>K10-'[4]6歷年退離(政)-OK'!K10</f>
        <v>0</v>
      </c>
      <c r="Y10" s="89">
        <f>L10-'[4]6歷年退離(政)-OK'!L10</f>
        <v>0</v>
      </c>
      <c r="Z10" s="89">
        <f>M10-'[4]6歷年退離(政)-OK'!M10</f>
        <v>0</v>
      </c>
      <c r="AA10" s="89">
        <f>N10-'[4]6歷年退離(政)-OK'!N10</f>
        <v>0</v>
      </c>
    </row>
    <row r="11" spans="1:31" s="8" customFormat="1" ht="53.1" customHeight="1">
      <c r="A11" s="114" t="s">
        <v>6</v>
      </c>
      <c r="B11" s="5">
        <f t="shared" si="1"/>
        <v>0</v>
      </c>
      <c r="C11" s="5">
        <f t="shared" si="2"/>
        <v>0</v>
      </c>
      <c r="D11" s="7">
        <v>0</v>
      </c>
      <c r="E11" s="7">
        <v>0</v>
      </c>
      <c r="F11" s="7">
        <v>0</v>
      </c>
      <c r="G11" s="5">
        <f t="shared" si="3"/>
        <v>0</v>
      </c>
      <c r="H11" s="7">
        <f t="shared" si="4"/>
        <v>0</v>
      </c>
      <c r="I11" s="7">
        <v>0</v>
      </c>
      <c r="J11" s="7">
        <v>0</v>
      </c>
      <c r="K11" s="7">
        <f t="shared" si="5"/>
        <v>0</v>
      </c>
      <c r="L11" s="7">
        <v>0</v>
      </c>
      <c r="M11" s="7">
        <v>0</v>
      </c>
      <c r="N11" s="7">
        <v>0</v>
      </c>
      <c r="O11" s="89">
        <f>B11-'[4]6歷年退離(政)-OK'!B11</f>
        <v>0</v>
      </c>
      <c r="P11" s="89">
        <f>C11-'[4]6歷年退離(政)-OK'!C11</f>
        <v>0</v>
      </c>
      <c r="Q11" s="89">
        <f>D11-'[4]6歷年退離(政)-OK'!D11</f>
        <v>0</v>
      </c>
      <c r="R11" s="89">
        <f>E11-'[4]6歷年退離(政)-OK'!E11</f>
        <v>0</v>
      </c>
      <c r="S11" s="89">
        <f>F11-'[4]6歷年退離(政)-OK'!F11</f>
        <v>0</v>
      </c>
      <c r="T11" s="89">
        <f>G11-'[4]6歷年退離(政)-OK'!G11</f>
        <v>0</v>
      </c>
      <c r="U11" s="89">
        <f>H11-'[4]6歷年退離(政)-OK'!H11</f>
        <v>0</v>
      </c>
      <c r="V11" s="89">
        <f>I11-'[4]6歷年退離(政)-OK'!I11</f>
        <v>0</v>
      </c>
      <c r="W11" s="89">
        <f>J11-'[4]6歷年退離(政)-OK'!J11</f>
        <v>0</v>
      </c>
      <c r="X11" s="89">
        <f>K11-'[4]6歷年退離(政)-OK'!K11</f>
        <v>0</v>
      </c>
      <c r="Y11" s="89">
        <f>L11-'[4]6歷年退離(政)-OK'!L11</f>
        <v>0</v>
      </c>
      <c r="Z11" s="89">
        <f>M11-'[4]6歷年退離(政)-OK'!M11</f>
        <v>0</v>
      </c>
      <c r="AA11" s="89">
        <f>N11-'[4]6歷年退離(政)-OK'!N11</f>
        <v>0</v>
      </c>
    </row>
    <row r="12" spans="1:31" s="8" customFormat="1" ht="53.1" customHeight="1">
      <c r="A12" s="114" t="s">
        <v>7</v>
      </c>
      <c r="B12" s="5">
        <f t="shared" si="1"/>
        <v>3</v>
      </c>
      <c r="C12" s="5">
        <f t="shared" si="2"/>
        <v>2</v>
      </c>
      <c r="D12" s="7">
        <v>0</v>
      </c>
      <c r="E12" s="7">
        <v>2</v>
      </c>
      <c r="F12" s="7">
        <v>0</v>
      </c>
      <c r="G12" s="5">
        <f t="shared" si="3"/>
        <v>0</v>
      </c>
      <c r="H12" s="7">
        <f t="shared" si="4"/>
        <v>0</v>
      </c>
      <c r="I12" s="7">
        <v>0</v>
      </c>
      <c r="J12" s="7">
        <v>0</v>
      </c>
      <c r="K12" s="7">
        <f t="shared" si="5"/>
        <v>0</v>
      </c>
      <c r="L12" s="7">
        <v>0</v>
      </c>
      <c r="M12" s="7">
        <v>0</v>
      </c>
      <c r="N12" s="7">
        <v>1</v>
      </c>
      <c r="O12" s="89">
        <f>B12-'[4]6歷年退離(政)-OK'!B12</f>
        <v>0</v>
      </c>
      <c r="P12" s="89">
        <f>C12-'[4]6歷年退離(政)-OK'!C12</f>
        <v>0</v>
      </c>
      <c r="Q12" s="89">
        <f>D12-'[4]6歷年退離(政)-OK'!D12</f>
        <v>0</v>
      </c>
      <c r="R12" s="89">
        <f>E12-'[4]6歷年退離(政)-OK'!E12</f>
        <v>0</v>
      </c>
      <c r="S12" s="89">
        <f>F12-'[4]6歷年退離(政)-OK'!F12</f>
        <v>0</v>
      </c>
      <c r="T12" s="89">
        <f>G12-'[4]6歷年退離(政)-OK'!G12</f>
        <v>0</v>
      </c>
      <c r="U12" s="89">
        <f>H12-'[4]6歷年退離(政)-OK'!H12</f>
        <v>0</v>
      </c>
      <c r="V12" s="89">
        <f>I12-'[4]6歷年退離(政)-OK'!I12</f>
        <v>0</v>
      </c>
      <c r="W12" s="89">
        <f>J12-'[4]6歷年退離(政)-OK'!J12</f>
        <v>0</v>
      </c>
      <c r="X12" s="89">
        <f>K12-'[4]6歷年退離(政)-OK'!K12</f>
        <v>0</v>
      </c>
      <c r="Y12" s="89">
        <f>L12-'[4]6歷年退離(政)-OK'!L12</f>
        <v>0</v>
      </c>
      <c r="Z12" s="89">
        <f>M12-'[4]6歷年退離(政)-OK'!M12</f>
        <v>0</v>
      </c>
      <c r="AA12" s="89">
        <f>N12-'[4]6歷年退離(政)-OK'!N12</f>
        <v>0</v>
      </c>
    </row>
    <row r="13" spans="1:31" s="8" customFormat="1" ht="53.1" customHeight="1">
      <c r="A13" s="114" t="s">
        <v>261</v>
      </c>
      <c r="B13" s="5">
        <f>C13+G13+N13</f>
        <v>0</v>
      </c>
      <c r="C13" s="5">
        <f>SUM(D13:F13)</f>
        <v>0</v>
      </c>
      <c r="D13" s="7">
        <v>0</v>
      </c>
      <c r="E13" s="7">
        <v>0</v>
      </c>
      <c r="F13" s="7">
        <v>0</v>
      </c>
      <c r="G13" s="5">
        <f t="shared" si="3"/>
        <v>0</v>
      </c>
      <c r="H13" s="7">
        <f t="shared" si="4"/>
        <v>0</v>
      </c>
      <c r="I13" s="7">
        <v>0</v>
      </c>
      <c r="J13" s="7">
        <v>0</v>
      </c>
      <c r="K13" s="7">
        <f t="shared" si="5"/>
        <v>0</v>
      </c>
      <c r="L13" s="7">
        <v>0</v>
      </c>
      <c r="M13" s="7">
        <v>0</v>
      </c>
      <c r="N13" s="7">
        <v>0</v>
      </c>
      <c r="O13" s="89">
        <f>B13-'[4]6歷年退離(政)-OK'!B13</f>
        <v>0</v>
      </c>
      <c r="P13" s="89">
        <f>C13-'[4]6歷年退離(政)-OK'!C13</f>
        <v>0</v>
      </c>
      <c r="Q13" s="89">
        <f>D13-'[4]6歷年退離(政)-OK'!D13</f>
        <v>0</v>
      </c>
      <c r="R13" s="89">
        <f>E13-'[4]6歷年退離(政)-OK'!E13</f>
        <v>0</v>
      </c>
      <c r="S13" s="89">
        <f>F13-'[4]6歷年退離(政)-OK'!F13</f>
        <v>0</v>
      </c>
      <c r="T13" s="89">
        <f>G13-'[4]6歷年退離(政)-OK'!G13</f>
        <v>0</v>
      </c>
      <c r="U13" s="89">
        <f>H13-'[4]6歷年退離(政)-OK'!H13</f>
        <v>0</v>
      </c>
      <c r="V13" s="89">
        <f>I13-'[4]6歷年退離(政)-OK'!I13</f>
        <v>0</v>
      </c>
      <c r="W13" s="89">
        <f>J13-'[4]6歷年退離(政)-OK'!J13</f>
        <v>0</v>
      </c>
      <c r="X13" s="89">
        <f>K13-'[4]6歷年退離(政)-OK'!K13</f>
        <v>0</v>
      </c>
      <c r="Y13" s="89">
        <f>L13-'[4]6歷年退離(政)-OK'!L13</f>
        <v>0</v>
      </c>
      <c r="Z13" s="89">
        <f>M13-'[4]6歷年退離(政)-OK'!M13</f>
        <v>0</v>
      </c>
      <c r="AA13" s="89">
        <f>N13-'[4]6歷年退離(政)-OK'!N13</f>
        <v>0</v>
      </c>
    </row>
    <row r="14" spans="1:31" s="8" customFormat="1" ht="53.1" customHeight="1">
      <c r="A14" s="114" t="s">
        <v>99</v>
      </c>
      <c r="B14" s="5">
        <f>C14+G14+N14</f>
        <v>0</v>
      </c>
      <c r="C14" s="5">
        <f>SUM(D14:F14)</f>
        <v>0</v>
      </c>
      <c r="D14" s="7">
        <v>0</v>
      </c>
      <c r="E14" s="7">
        <v>0</v>
      </c>
      <c r="F14" s="7">
        <v>0</v>
      </c>
      <c r="G14" s="5">
        <f t="shared" si="3"/>
        <v>0</v>
      </c>
      <c r="H14" s="7">
        <f t="shared" si="4"/>
        <v>0</v>
      </c>
      <c r="I14" s="7">
        <v>0</v>
      </c>
      <c r="J14" s="7">
        <v>0</v>
      </c>
      <c r="K14" s="7">
        <f t="shared" si="5"/>
        <v>0</v>
      </c>
      <c r="L14" s="7">
        <v>0</v>
      </c>
      <c r="M14" s="7">
        <v>0</v>
      </c>
      <c r="N14" s="7">
        <v>0</v>
      </c>
      <c r="O14" s="89">
        <f>B14-'[4]6歷年退離(政)-OK'!B14</f>
        <v>0</v>
      </c>
      <c r="P14" s="89">
        <f>C14-'[4]6歷年退離(政)-OK'!C14</f>
        <v>0</v>
      </c>
      <c r="Q14" s="89">
        <f>D14-'[4]6歷年退離(政)-OK'!D14</f>
        <v>0</v>
      </c>
      <c r="R14" s="89">
        <f>E14-'[4]6歷年退離(政)-OK'!E14</f>
        <v>0</v>
      </c>
      <c r="S14" s="89">
        <f>F14-'[4]6歷年退離(政)-OK'!F14</f>
        <v>0</v>
      </c>
      <c r="T14" s="89">
        <f>G14-'[4]6歷年退離(政)-OK'!G14</f>
        <v>0</v>
      </c>
      <c r="U14" s="89">
        <f>H14-'[4]6歷年退離(政)-OK'!H14</f>
        <v>0</v>
      </c>
      <c r="V14" s="89">
        <f>I14-'[4]6歷年退離(政)-OK'!I14</f>
        <v>0</v>
      </c>
      <c r="W14" s="89">
        <f>J14-'[4]6歷年退離(政)-OK'!J14</f>
        <v>0</v>
      </c>
      <c r="X14" s="89">
        <f>K14-'[4]6歷年退離(政)-OK'!K14</f>
        <v>0</v>
      </c>
      <c r="Y14" s="89">
        <f>L14-'[4]6歷年退離(政)-OK'!L14</f>
        <v>0</v>
      </c>
      <c r="Z14" s="89">
        <f>M14-'[4]6歷年退離(政)-OK'!M14</f>
        <v>0</v>
      </c>
      <c r="AA14" s="89">
        <f>N14-'[4]6歷年退離(政)-OK'!N14</f>
        <v>0</v>
      </c>
    </row>
    <row r="15" spans="1:31" s="8" customFormat="1" ht="53.1" customHeight="1">
      <c r="A15" s="114" t="s">
        <v>262</v>
      </c>
      <c r="B15" s="5">
        <f>C15+G15+N15</f>
        <v>0</v>
      </c>
      <c r="C15" s="5">
        <f>SUM(D15:F15)</f>
        <v>0</v>
      </c>
      <c r="D15" s="7">
        <v>0</v>
      </c>
      <c r="E15" s="7">
        <v>0</v>
      </c>
      <c r="F15" s="7">
        <v>0</v>
      </c>
      <c r="G15" s="5">
        <f t="shared" si="3"/>
        <v>0</v>
      </c>
      <c r="H15" s="7">
        <f t="shared" si="4"/>
        <v>0</v>
      </c>
      <c r="I15" s="7">
        <v>0</v>
      </c>
      <c r="J15" s="7">
        <v>0</v>
      </c>
      <c r="K15" s="7">
        <f t="shared" si="5"/>
        <v>0</v>
      </c>
      <c r="L15" s="7">
        <v>0</v>
      </c>
      <c r="M15" s="7">
        <v>0</v>
      </c>
      <c r="N15" s="7">
        <v>0</v>
      </c>
      <c r="O15" s="89">
        <f>B15-'[4]6歷年退離(政)-OK'!B15</f>
        <v>0</v>
      </c>
      <c r="P15" s="89">
        <f>C15-'[4]6歷年退離(政)-OK'!C15</f>
        <v>0</v>
      </c>
      <c r="Q15" s="89">
        <f>D15-'[4]6歷年退離(政)-OK'!D15</f>
        <v>0</v>
      </c>
      <c r="R15" s="89">
        <f>E15-'[4]6歷年退離(政)-OK'!E15</f>
        <v>0</v>
      </c>
      <c r="S15" s="89">
        <f>F15-'[4]6歷年退離(政)-OK'!F15</f>
        <v>0</v>
      </c>
      <c r="T15" s="89">
        <f>G15-'[4]6歷年退離(政)-OK'!G15</f>
        <v>0</v>
      </c>
      <c r="U15" s="89">
        <f>H15-'[4]6歷年退離(政)-OK'!H15</f>
        <v>0</v>
      </c>
      <c r="V15" s="89">
        <f>I15-'[4]6歷年退離(政)-OK'!I15</f>
        <v>0</v>
      </c>
      <c r="W15" s="89">
        <f>J15-'[4]6歷年退離(政)-OK'!J15</f>
        <v>0</v>
      </c>
      <c r="X15" s="89">
        <f>K15-'[4]6歷年退離(政)-OK'!K15</f>
        <v>0</v>
      </c>
      <c r="Y15" s="89">
        <f>L15-'[4]6歷年退離(政)-OK'!L15</f>
        <v>0</v>
      </c>
      <c r="Z15" s="89">
        <f>M15-'[4]6歷年退離(政)-OK'!M15</f>
        <v>0</v>
      </c>
      <c r="AA15" s="89">
        <f>N15-'[4]6歷年退離(政)-OK'!N15</f>
        <v>0</v>
      </c>
    </row>
    <row r="16" spans="1:31" s="8" customFormat="1" ht="53.1" customHeight="1">
      <c r="A16" s="114" t="s">
        <v>200</v>
      </c>
      <c r="B16" s="5">
        <f>C16+G16+N16</f>
        <v>1</v>
      </c>
      <c r="C16" s="5">
        <f>SUM(D16:F16)</f>
        <v>1</v>
      </c>
      <c r="D16" s="7">
        <v>1</v>
      </c>
      <c r="E16" s="7">
        <v>0</v>
      </c>
      <c r="F16" s="7">
        <v>0</v>
      </c>
      <c r="G16" s="5">
        <f>H16+K16</f>
        <v>0</v>
      </c>
      <c r="H16" s="7">
        <f>SUM(I16:J16)</f>
        <v>0</v>
      </c>
      <c r="I16" s="7">
        <v>0</v>
      </c>
      <c r="J16" s="7">
        <v>0</v>
      </c>
      <c r="K16" s="7">
        <f>SUM(L16:M16)</f>
        <v>0</v>
      </c>
      <c r="L16" s="7">
        <v>0</v>
      </c>
      <c r="M16" s="7">
        <v>0</v>
      </c>
      <c r="N16" s="7">
        <v>0</v>
      </c>
      <c r="O16" s="89">
        <f>B16-'[4]6歷年退離(政)-OK'!B16</f>
        <v>0</v>
      </c>
      <c r="P16" s="89">
        <f>C16-'[4]6歷年退離(政)-OK'!C16</f>
        <v>0</v>
      </c>
      <c r="Q16" s="89">
        <f>D16-'[4]6歷年退離(政)-OK'!D16</f>
        <v>0</v>
      </c>
      <c r="R16" s="89">
        <f>E16-'[4]6歷年退離(政)-OK'!E16</f>
        <v>0</v>
      </c>
      <c r="S16" s="89">
        <f>F16-'[4]6歷年退離(政)-OK'!F16</f>
        <v>0</v>
      </c>
      <c r="T16" s="89">
        <f>G16-'[4]6歷年退離(政)-OK'!G16</f>
        <v>0</v>
      </c>
      <c r="U16" s="89">
        <f>H16-'[4]6歷年退離(政)-OK'!H16</f>
        <v>0</v>
      </c>
      <c r="V16" s="89">
        <f>I16-'[4]6歷年退離(政)-OK'!I16</f>
        <v>0</v>
      </c>
      <c r="W16" s="89">
        <f>J16-'[4]6歷年退離(政)-OK'!J16</f>
        <v>0</v>
      </c>
      <c r="X16" s="89">
        <f>K16-'[4]6歷年退離(政)-OK'!K16</f>
        <v>0</v>
      </c>
      <c r="Y16" s="89">
        <f>L16-'[4]6歷年退離(政)-OK'!L16</f>
        <v>0</v>
      </c>
      <c r="Z16" s="89">
        <f>M16-'[4]6歷年退離(政)-OK'!M16</f>
        <v>0</v>
      </c>
      <c r="AA16" s="89">
        <f>N16-'[4]6歷年退離(政)-OK'!N16</f>
        <v>0</v>
      </c>
    </row>
    <row r="17" spans="1:14" s="8" customFormat="1" ht="53.1" customHeight="1">
      <c r="A17" s="103" t="s">
        <v>396</v>
      </c>
      <c r="B17" s="5">
        <f t="shared" si="1"/>
        <v>0</v>
      </c>
      <c r="C17" s="5">
        <v>0</v>
      </c>
      <c r="D17" s="7">
        <v>0</v>
      </c>
      <c r="E17" s="7">
        <v>0</v>
      </c>
      <c r="F17" s="7">
        <v>0</v>
      </c>
      <c r="G17" s="5">
        <v>0</v>
      </c>
      <c r="H17" s="7">
        <v>0</v>
      </c>
      <c r="I17" s="7">
        <v>0</v>
      </c>
      <c r="J17" s="7">
        <v>0</v>
      </c>
      <c r="K17" s="7">
        <v>0</v>
      </c>
      <c r="L17" s="7">
        <v>0</v>
      </c>
      <c r="M17" s="7">
        <v>0</v>
      </c>
      <c r="N17" s="7">
        <v>0</v>
      </c>
    </row>
    <row r="18" spans="1:14" s="29" customFormat="1" ht="29.25" customHeight="1">
      <c r="A18" s="815" t="s">
        <v>1030</v>
      </c>
      <c r="B18" s="816"/>
      <c r="C18" s="816"/>
      <c r="D18" s="816"/>
      <c r="E18" s="816"/>
      <c r="F18" s="816"/>
      <c r="G18" s="816"/>
      <c r="H18" s="816"/>
      <c r="I18" s="816"/>
      <c r="J18" s="816"/>
      <c r="K18" s="816"/>
      <c r="L18" s="816"/>
      <c r="M18" s="816"/>
      <c r="N18" s="816"/>
    </row>
    <row r="19" spans="1:14" ht="20.100000000000001" customHeight="1">
      <c r="A19" s="12" t="s">
        <v>356</v>
      </c>
      <c r="B19" s="116"/>
      <c r="C19" s="116">
        <f>C17+'7歷年退離(公)-OK'!C17+'7歷年退離(公)-OK'!G17</f>
        <v>7297</v>
      </c>
      <c r="D19" s="116">
        <f>D17+'7歷年退離(公)-OK'!D17</f>
        <v>392</v>
      </c>
      <c r="E19" s="116">
        <f>SUM(E17:F17)+SUM('7歷年退離(公)-OK'!E17:F17)</f>
        <v>6896</v>
      </c>
      <c r="F19" s="13"/>
      <c r="G19" s="13"/>
      <c r="H19" s="13"/>
      <c r="I19" s="13"/>
      <c r="J19" s="13"/>
      <c r="K19" s="13"/>
      <c r="L19" s="13"/>
      <c r="M19" s="13"/>
      <c r="N19" s="13"/>
    </row>
    <row r="20" spans="1:14" ht="16.5">
      <c r="A20" s="14" t="s">
        <v>358</v>
      </c>
      <c r="B20" s="143">
        <f>SUM(B7:N15)-SUM('[1]6歷年退離(政) '!$B$8:$N$16)</f>
        <v>0</v>
      </c>
    </row>
  </sheetData>
  <mergeCells count="17">
    <mergeCell ref="C4:C5"/>
    <mergeCell ref="A1:G1"/>
    <mergeCell ref="H1:N1"/>
    <mergeCell ref="A2:G2"/>
    <mergeCell ref="H2:M2"/>
    <mergeCell ref="A18:N18"/>
    <mergeCell ref="D4:D5"/>
    <mergeCell ref="E4:E5"/>
    <mergeCell ref="F4:F5"/>
    <mergeCell ref="G4:G5"/>
    <mergeCell ref="H4:J4"/>
    <mergeCell ref="K4:M4"/>
    <mergeCell ref="A3:A5"/>
    <mergeCell ref="B3:B5"/>
    <mergeCell ref="C3:F3"/>
    <mergeCell ref="G3:M3"/>
    <mergeCell ref="N3:N5"/>
  </mergeCells>
  <phoneticPr fontId="3" type="noConversion"/>
  <pageMargins left="0.74803149606299213" right="0.74803149606299213" top="0.59055118110236227" bottom="0.54" header="0.51181102362204722" footer="0.33"/>
  <pageSetup paperSize="9" orientation="portrait" r:id="rId1"/>
  <headerFooter alignWithMargins="0"/>
  <colBreaks count="1" manualBreakCount="1">
    <brk id="7" max="1048575" man="1"/>
  </colBreaks>
</worksheet>
</file>

<file path=xl/worksheets/sheet9.xml><?xml version="1.0" encoding="utf-8"?>
<worksheet xmlns="http://schemas.openxmlformats.org/spreadsheetml/2006/main" xmlns:r="http://schemas.openxmlformats.org/officeDocument/2006/relationships">
  <sheetPr>
    <tabColor indexed="13"/>
  </sheetPr>
  <dimension ref="A1:AC19"/>
  <sheetViews>
    <sheetView view="pageBreakPreview" zoomScaleNormal="90" zoomScaleSheetLayoutView="100" workbookViewId="0">
      <pane xSplit="1" ySplit="5" topLeftCell="N13" activePane="bottomRight" state="frozen"/>
      <selection activeCell="E20" sqref="E20"/>
      <selection pane="topRight" activeCell="E20" sqref="E20"/>
      <selection pane="bottomLeft" activeCell="E20" sqref="E20"/>
      <selection pane="bottomRight" activeCell="E20" sqref="E20"/>
    </sheetView>
  </sheetViews>
  <sheetFormatPr defaultColWidth="6.5" defaultRowHeight="74.25" customHeight="1"/>
  <cols>
    <col min="1" max="1" width="7.625" style="14" customWidth="1"/>
    <col min="2" max="2" width="9.5" style="1" customWidth="1"/>
    <col min="3" max="3" width="10.375" style="1" customWidth="1"/>
    <col min="4" max="6" width="12.875" style="1" customWidth="1"/>
    <col min="7" max="7" width="8.125" style="1" customWidth="1"/>
    <col min="8" max="8" width="10.125" style="1" customWidth="1"/>
    <col min="9" max="9" width="9.125" style="1" customWidth="1"/>
    <col min="10" max="10" width="14.125" style="1" customWidth="1"/>
    <col min="11" max="11" width="16.625" style="1" customWidth="1"/>
    <col min="12" max="12" width="9.125" style="1" customWidth="1"/>
    <col min="13" max="13" width="14.875" style="1" customWidth="1"/>
    <col min="14" max="14" width="16.375" style="1" customWidth="1"/>
    <col min="15" max="15" width="12.5" style="1" customWidth="1"/>
    <col min="16" max="16" width="6.875" style="1" bestFit="1" customWidth="1"/>
    <col min="17" max="16384" width="6.5" style="1"/>
  </cols>
  <sheetData>
    <row r="1" spans="1:29" ht="33" customHeight="1">
      <c r="A1" s="787" t="s">
        <v>263</v>
      </c>
      <c r="B1" s="787"/>
      <c r="C1" s="787"/>
      <c r="D1" s="787"/>
      <c r="E1" s="787"/>
      <c r="F1" s="787"/>
      <c r="G1" s="787"/>
      <c r="H1" s="787"/>
      <c r="I1" s="813" t="s">
        <v>248</v>
      </c>
      <c r="J1" s="813"/>
      <c r="K1" s="813"/>
      <c r="L1" s="813"/>
      <c r="M1" s="813"/>
      <c r="N1" s="813"/>
      <c r="O1" s="813"/>
    </row>
    <row r="2" spans="1:29" s="2" customFormat="1" ht="33" customHeight="1">
      <c r="A2" s="788" t="s">
        <v>394</v>
      </c>
      <c r="B2" s="788"/>
      <c r="C2" s="788"/>
      <c r="D2" s="788"/>
      <c r="E2" s="788"/>
      <c r="F2" s="788"/>
      <c r="G2" s="788"/>
      <c r="H2" s="788"/>
      <c r="I2" s="830" t="s">
        <v>395</v>
      </c>
      <c r="J2" s="830"/>
      <c r="K2" s="830"/>
      <c r="L2" s="830"/>
      <c r="M2" s="830"/>
      <c r="N2" s="830"/>
      <c r="O2" s="115" t="s">
        <v>9</v>
      </c>
    </row>
    <row r="3" spans="1:29" s="2" customFormat="1" ht="29.25" customHeight="1">
      <c r="A3" s="793" t="s">
        <v>222</v>
      </c>
      <c r="B3" s="811" t="s">
        <v>223</v>
      </c>
      <c r="C3" s="795" t="s">
        <v>264</v>
      </c>
      <c r="D3" s="795"/>
      <c r="E3" s="795"/>
      <c r="F3" s="795"/>
      <c r="G3" s="794" t="s">
        <v>225</v>
      </c>
      <c r="H3" s="822" t="s">
        <v>250</v>
      </c>
      <c r="I3" s="828"/>
      <c r="J3" s="828"/>
      <c r="K3" s="828"/>
      <c r="L3" s="828"/>
      <c r="M3" s="828"/>
      <c r="N3" s="829"/>
      <c r="O3" s="796" t="s">
        <v>251</v>
      </c>
    </row>
    <row r="4" spans="1:29" s="2" customFormat="1" ht="29.25" customHeight="1">
      <c r="A4" s="793"/>
      <c r="B4" s="811"/>
      <c r="C4" s="819" t="s">
        <v>226</v>
      </c>
      <c r="D4" s="817" t="s">
        <v>265</v>
      </c>
      <c r="E4" s="819" t="s">
        <v>266</v>
      </c>
      <c r="F4" s="821" t="s">
        <v>267</v>
      </c>
      <c r="G4" s="796"/>
      <c r="H4" s="822" t="s">
        <v>226</v>
      </c>
      <c r="I4" s="824" t="s">
        <v>236</v>
      </c>
      <c r="J4" s="824"/>
      <c r="K4" s="793"/>
      <c r="L4" s="812" t="s">
        <v>237</v>
      </c>
      <c r="M4" s="824"/>
      <c r="N4" s="793"/>
      <c r="O4" s="796"/>
    </row>
    <row r="5" spans="1:29" s="2" customFormat="1" ht="39.75" customHeight="1">
      <c r="A5" s="793"/>
      <c r="B5" s="811"/>
      <c r="C5" s="820"/>
      <c r="D5" s="832"/>
      <c r="E5" s="820"/>
      <c r="F5" s="832"/>
      <c r="G5" s="796"/>
      <c r="H5" s="823"/>
      <c r="I5" s="109" t="s">
        <v>268</v>
      </c>
      <c r="J5" s="101" t="s">
        <v>238</v>
      </c>
      <c r="K5" s="99" t="s">
        <v>346</v>
      </c>
      <c r="L5" s="101" t="s">
        <v>268</v>
      </c>
      <c r="M5" s="101" t="s">
        <v>10</v>
      </c>
      <c r="N5" s="99" t="s">
        <v>346</v>
      </c>
      <c r="O5" s="796"/>
      <c r="P5" s="61" t="s">
        <v>423</v>
      </c>
    </row>
    <row r="6" spans="1:29" s="2" customFormat="1" ht="53.1" customHeight="1">
      <c r="A6" s="114" t="s">
        <v>240</v>
      </c>
      <c r="B6" s="30">
        <f>SUM(B8:B17)</f>
        <v>103344</v>
      </c>
      <c r="C6" s="30">
        <f t="shared" ref="C6:O6" si="0">SUM(C8:C17)</f>
        <v>91413</v>
      </c>
      <c r="D6" s="30">
        <f t="shared" si="0"/>
        <v>3545</v>
      </c>
      <c r="E6" s="30">
        <f t="shared" si="0"/>
        <v>87153</v>
      </c>
      <c r="F6" s="30">
        <f t="shared" si="0"/>
        <v>715</v>
      </c>
      <c r="G6" s="30">
        <f t="shared" si="0"/>
        <v>184</v>
      </c>
      <c r="H6" s="30">
        <f t="shared" si="0"/>
        <v>2137</v>
      </c>
      <c r="I6" s="30">
        <f t="shared" si="0"/>
        <v>1975</v>
      </c>
      <c r="J6" s="30">
        <f t="shared" si="0"/>
        <v>479</v>
      </c>
      <c r="K6" s="30">
        <f t="shared" si="0"/>
        <v>1496</v>
      </c>
      <c r="L6" s="30">
        <f t="shared" si="0"/>
        <v>162</v>
      </c>
      <c r="M6" s="30">
        <f t="shared" si="0"/>
        <v>2</v>
      </c>
      <c r="N6" s="30">
        <f t="shared" si="0"/>
        <v>160</v>
      </c>
      <c r="O6" s="30">
        <f t="shared" si="0"/>
        <v>9610</v>
      </c>
      <c r="P6" s="159">
        <f>B6-B17-'[4]7歷年退離(公)-OK'!B6+'[4]7歷年退離(公)-OK'!B7</f>
        <v>0</v>
      </c>
      <c r="Q6" s="159">
        <f>C6-C17-'[4]7歷年退離(公)-OK'!C6+'[4]7歷年退離(公)-OK'!C7</f>
        <v>0</v>
      </c>
      <c r="R6" s="159">
        <f>D6-D17-'[4]7歷年退離(公)-OK'!D6+'[4]7歷年退離(公)-OK'!D7</f>
        <v>0</v>
      </c>
      <c r="S6" s="159">
        <f>E6-E17-'[4]7歷年退離(公)-OK'!E6+'[4]7歷年退離(公)-OK'!E7</f>
        <v>0</v>
      </c>
      <c r="T6" s="159">
        <f>F6-F17-'[4]7歷年退離(公)-OK'!F6+'[4]7歷年退離(公)-OK'!F7</f>
        <v>0</v>
      </c>
      <c r="U6" s="159">
        <f>G6-G17-'[4]7歷年退離(公)-OK'!G6+'[4]7歷年退離(公)-OK'!G7</f>
        <v>0</v>
      </c>
      <c r="V6" s="159">
        <f>H6-H17-'[4]7歷年退離(公)-OK'!H6+'[4]7歷年退離(公)-OK'!H7</f>
        <v>0</v>
      </c>
      <c r="W6" s="159">
        <f>I6-I17-'[4]7歷年退離(公)-OK'!I6+'[4]7歷年退離(公)-OK'!I7</f>
        <v>0</v>
      </c>
      <c r="X6" s="159">
        <f>J6-J17-'[4]7歷年退離(公)-OK'!J6+'[4]7歷年退離(公)-OK'!J7</f>
        <v>0</v>
      </c>
      <c r="Y6" s="159">
        <f>K6-K17-'[4]7歷年退離(公)-OK'!K6+'[4]7歷年退離(公)-OK'!K7</f>
        <v>0</v>
      </c>
      <c r="Z6" s="159">
        <f>L6-L17-'[4]7歷年退離(公)-OK'!L6+'[4]7歷年退離(公)-OK'!L7</f>
        <v>0</v>
      </c>
      <c r="AA6" s="159">
        <f>M6-M17-'[4]7歷年退離(公)-OK'!M6+'[4]7歷年退離(公)-OK'!M7</f>
        <v>0</v>
      </c>
      <c r="AB6" s="159">
        <f>N6-N17-'[4]7歷年退離(公)-OK'!N6+'[4]7歷年退離(公)-OK'!N7</f>
        <v>0</v>
      </c>
      <c r="AC6" s="159">
        <f>O6-O17-'[4]7歷年退離(公)-OK'!O6+'[4]7歷年退離(公)-OK'!O7</f>
        <v>0</v>
      </c>
    </row>
    <row r="7" spans="1:29" s="8" customFormat="1" ht="53.1" hidden="1" customHeight="1">
      <c r="A7" s="114" t="s">
        <v>2</v>
      </c>
      <c r="B7" s="30">
        <f t="shared" ref="B7:B12" si="1">C7+G7+H7+O7</f>
        <v>8146</v>
      </c>
      <c r="C7" s="31">
        <f>D7+E7+F7</f>
        <v>7195</v>
      </c>
      <c r="D7" s="31">
        <v>230</v>
      </c>
      <c r="E7" s="31">
        <v>6856</v>
      </c>
      <c r="F7" s="31">
        <v>109</v>
      </c>
      <c r="G7" s="31">
        <v>42</v>
      </c>
      <c r="H7" s="30">
        <f t="shared" ref="H7:H16" si="2">I7+L7</f>
        <v>251</v>
      </c>
      <c r="I7" s="31">
        <f t="shared" ref="I7:I16" si="3">SUM(J7:K7)</f>
        <v>213</v>
      </c>
      <c r="J7" s="31">
        <v>49</v>
      </c>
      <c r="K7" s="31">
        <v>164</v>
      </c>
      <c r="L7" s="31">
        <f t="shared" ref="L7:L16" si="4">SUM(M7:N7)</f>
        <v>38</v>
      </c>
      <c r="M7" s="31">
        <v>2</v>
      </c>
      <c r="N7" s="31">
        <v>36</v>
      </c>
      <c r="O7" s="31">
        <v>658</v>
      </c>
      <c r="P7" s="89"/>
      <c r="Q7" s="89"/>
      <c r="R7" s="89"/>
      <c r="S7" s="89"/>
      <c r="T7" s="89"/>
      <c r="U7" s="89"/>
      <c r="V7" s="89"/>
      <c r="W7" s="89"/>
      <c r="X7" s="89"/>
      <c r="Y7" s="89"/>
      <c r="Z7" s="89"/>
      <c r="AA7" s="89"/>
      <c r="AB7" s="89"/>
      <c r="AC7" s="89"/>
    </row>
    <row r="8" spans="1:29" s="8" customFormat="1" ht="53.1" customHeight="1">
      <c r="A8" s="114" t="s">
        <v>3</v>
      </c>
      <c r="B8" s="30">
        <f t="shared" si="1"/>
        <v>10190</v>
      </c>
      <c r="C8" s="31">
        <f>D8+E8+F8</f>
        <v>9013</v>
      </c>
      <c r="D8" s="31">
        <v>203</v>
      </c>
      <c r="E8" s="31">
        <v>8695</v>
      </c>
      <c r="F8" s="31">
        <v>115</v>
      </c>
      <c r="G8" s="31">
        <v>47</v>
      </c>
      <c r="H8" s="30">
        <f t="shared" si="2"/>
        <v>240</v>
      </c>
      <c r="I8" s="31">
        <f t="shared" si="3"/>
        <v>204</v>
      </c>
      <c r="J8" s="31">
        <v>45</v>
      </c>
      <c r="K8" s="31">
        <v>159</v>
      </c>
      <c r="L8" s="31">
        <f t="shared" si="4"/>
        <v>36</v>
      </c>
      <c r="M8" s="31">
        <v>1</v>
      </c>
      <c r="N8" s="31">
        <v>35</v>
      </c>
      <c r="O8" s="31">
        <v>890</v>
      </c>
      <c r="P8" s="89">
        <f>B8-'[4]7歷年退離(公)-OK'!B8</f>
        <v>0</v>
      </c>
      <c r="Q8" s="89">
        <f>C8-'[4]7歷年退離(公)-OK'!C8</f>
        <v>0</v>
      </c>
      <c r="R8" s="89">
        <f>D8-'[4]7歷年退離(公)-OK'!D8</f>
        <v>0</v>
      </c>
      <c r="S8" s="89">
        <f>E8-'[4]7歷年退離(公)-OK'!E8</f>
        <v>0</v>
      </c>
      <c r="T8" s="89">
        <f>F8-'[4]7歷年退離(公)-OK'!F8</f>
        <v>0</v>
      </c>
      <c r="U8" s="89">
        <f>G8-'[4]7歷年退離(公)-OK'!G8</f>
        <v>0</v>
      </c>
      <c r="V8" s="89">
        <f>H8-'[4]7歷年退離(公)-OK'!H8</f>
        <v>0</v>
      </c>
      <c r="W8" s="89">
        <f>I8-'[4]7歷年退離(公)-OK'!I8</f>
        <v>0</v>
      </c>
      <c r="X8" s="89">
        <f>J8-'[4]7歷年退離(公)-OK'!J8</f>
        <v>0</v>
      </c>
      <c r="Y8" s="89">
        <f>K8-'[4]7歷年退離(公)-OK'!K8</f>
        <v>0</v>
      </c>
      <c r="Z8" s="89">
        <f>L8-'[4]7歷年退離(公)-OK'!L8</f>
        <v>0</v>
      </c>
      <c r="AA8" s="89">
        <f>M8-'[4]7歷年退離(公)-OK'!M8</f>
        <v>0</v>
      </c>
      <c r="AB8" s="89">
        <f>N8-'[4]7歷年退離(公)-OK'!N8</f>
        <v>0</v>
      </c>
      <c r="AC8" s="89">
        <f>O8-'[4]7歷年退離(公)-OK'!O8</f>
        <v>0</v>
      </c>
    </row>
    <row r="9" spans="1:29" s="8" customFormat="1" ht="53.1" customHeight="1">
      <c r="A9" s="114" t="s">
        <v>4</v>
      </c>
      <c r="B9" s="30">
        <f t="shared" si="1"/>
        <v>11374</v>
      </c>
      <c r="C9" s="31">
        <f t="shared" ref="C9:C14" si="5">SUM(D9:F9)</f>
        <v>10361</v>
      </c>
      <c r="D9" s="31">
        <v>135</v>
      </c>
      <c r="E9" s="31">
        <v>10159</v>
      </c>
      <c r="F9" s="31">
        <v>67</v>
      </c>
      <c r="G9" s="31">
        <v>19</v>
      </c>
      <c r="H9" s="30">
        <f t="shared" si="2"/>
        <v>223</v>
      </c>
      <c r="I9" s="31">
        <f t="shared" si="3"/>
        <v>209</v>
      </c>
      <c r="J9" s="31">
        <v>43</v>
      </c>
      <c r="K9" s="31">
        <v>166</v>
      </c>
      <c r="L9" s="31">
        <f t="shared" si="4"/>
        <v>14</v>
      </c>
      <c r="M9" s="31">
        <v>0</v>
      </c>
      <c r="N9" s="31">
        <v>14</v>
      </c>
      <c r="O9" s="31">
        <v>771</v>
      </c>
      <c r="P9" s="89">
        <f>B9-'[4]7歷年退離(公)-OK'!B9</f>
        <v>0</v>
      </c>
      <c r="Q9" s="89">
        <f>C9-'[4]7歷年退離(公)-OK'!C9</f>
        <v>0</v>
      </c>
      <c r="R9" s="89">
        <f>D9-'[4]7歷年退離(公)-OK'!D9</f>
        <v>0</v>
      </c>
      <c r="S9" s="89">
        <f>E9-'[4]7歷年退離(公)-OK'!E9</f>
        <v>0</v>
      </c>
      <c r="T9" s="89">
        <f>F9-'[4]7歷年退離(公)-OK'!F9</f>
        <v>0</v>
      </c>
      <c r="U9" s="89">
        <f>G9-'[4]7歷年退離(公)-OK'!G9</f>
        <v>0</v>
      </c>
      <c r="V9" s="89">
        <f>H9-'[4]7歷年退離(公)-OK'!H9</f>
        <v>0</v>
      </c>
      <c r="W9" s="89">
        <f>I9-'[4]7歷年退離(公)-OK'!I9</f>
        <v>0</v>
      </c>
      <c r="X9" s="89">
        <f>J9-'[4]7歷年退離(公)-OK'!J9</f>
        <v>0</v>
      </c>
      <c r="Y9" s="89">
        <f>K9-'[4]7歷年退離(公)-OK'!K9</f>
        <v>0</v>
      </c>
      <c r="Z9" s="89">
        <f>L9-'[4]7歷年退離(公)-OK'!L9</f>
        <v>0</v>
      </c>
      <c r="AA9" s="89">
        <f>M9-'[4]7歷年退離(公)-OK'!M9</f>
        <v>0</v>
      </c>
      <c r="AB9" s="89">
        <f>N9-'[4]7歷年退離(公)-OK'!N9</f>
        <v>0</v>
      </c>
      <c r="AC9" s="89">
        <f>O9-'[4]7歷年退離(公)-OK'!O9</f>
        <v>0</v>
      </c>
    </row>
    <row r="10" spans="1:29" s="8" customFormat="1" ht="53.1" customHeight="1">
      <c r="A10" s="114" t="s">
        <v>5</v>
      </c>
      <c r="B10" s="30">
        <f t="shared" si="1"/>
        <v>11601</v>
      </c>
      <c r="C10" s="31">
        <f t="shared" si="5"/>
        <v>10527</v>
      </c>
      <c r="D10" s="31">
        <v>137</v>
      </c>
      <c r="E10" s="31">
        <v>10318</v>
      </c>
      <c r="F10" s="31">
        <v>72</v>
      </c>
      <c r="G10" s="31">
        <v>26</v>
      </c>
      <c r="H10" s="30">
        <f t="shared" si="2"/>
        <v>193</v>
      </c>
      <c r="I10" s="31">
        <f t="shared" si="3"/>
        <v>177</v>
      </c>
      <c r="J10" s="31">
        <v>36</v>
      </c>
      <c r="K10" s="31">
        <v>141</v>
      </c>
      <c r="L10" s="31">
        <f t="shared" si="4"/>
        <v>16</v>
      </c>
      <c r="M10" s="31">
        <v>0</v>
      </c>
      <c r="N10" s="31">
        <v>16</v>
      </c>
      <c r="O10" s="31">
        <v>855</v>
      </c>
      <c r="P10" s="89">
        <f>B10-'[4]7歷年退離(公)-OK'!B10</f>
        <v>0</v>
      </c>
      <c r="Q10" s="89">
        <f>C10-'[4]7歷年退離(公)-OK'!C10</f>
        <v>0</v>
      </c>
      <c r="R10" s="89">
        <f>D10-'[4]7歷年退離(公)-OK'!D10</f>
        <v>0</v>
      </c>
      <c r="S10" s="89">
        <f>E10-'[4]7歷年退離(公)-OK'!E10</f>
        <v>0</v>
      </c>
      <c r="T10" s="89">
        <f>F10-'[4]7歷年退離(公)-OK'!F10</f>
        <v>0</v>
      </c>
      <c r="U10" s="89">
        <f>G10-'[4]7歷年退離(公)-OK'!G10</f>
        <v>0</v>
      </c>
      <c r="V10" s="89">
        <f>H10-'[4]7歷年退離(公)-OK'!H10</f>
        <v>0</v>
      </c>
      <c r="W10" s="89">
        <f>I10-'[4]7歷年退離(公)-OK'!I10</f>
        <v>0</v>
      </c>
      <c r="X10" s="89">
        <f>J10-'[4]7歷年退離(公)-OK'!J10</f>
        <v>0</v>
      </c>
      <c r="Y10" s="89">
        <f>K10-'[4]7歷年退離(公)-OK'!K10</f>
        <v>0</v>
      </c>
      <c r="Z10" s="89">
        <f>L10-'[4]7歷年退離(公)-OK'!L10</f>
        <v>0</v>
      </c>
      <c r="AA10" s="89">
        <f>M10-'[4]7歷年退離(公)-OK'!M10</f>
        <v>0</v>
      </c>
      <c r="AB10" s="89">
        <f>N10-'[4]7歷年退離(公)-OK'!N10</f>
        <v>0</v>
      </c>
      <c r="AC10" s="89">
        <f>O10-'[4]7歷年退離(公)-OK'!O10</f>
        <v>0</v>
      </c>
    </row>
    <row r="11" spans="1:29" s="8" customFormat="1" ht="53.1" customHeight="1">
      <c r="A11" s="114" t="s">
        <v>6</v>
      </c>
      <c r="B11" s="30">
        <f t="shared" si="1"/>
        <v>10825</v>
      </c>
      <c r="C11" s="31">
        <f t="shared" si="5"/>
        <v>9816</v>
      </c>
      <c r="D11" s="31">
        <v>272</v>
      </c>
      <c r="E11" s="31">
        <v>9472</v>
      </c>
      <c r="F11" s="31">
        <v>72</v>
      </c>
      <c r="G11" s="31">
        <v>21</v>
      </c>
      <c r="H11" s="30">
        <f t="shared" si="2"/>
        <v>233</v>
      </c>
      <c r="I11" s="31">
        <f t="shared" si="3"/>
        <v>213</v>
      </c>
      <c r="J11" s="31">
        <v>45</v>
      </c>
      <c r="K11" s="31">
        <v>168</v>
      </c>
      <c r="L11" s="31">
        <f t="shared" si="4"/>
        <v>20</v>
      </c>
      <c r="M11" s="31">
        <v>0</v>
      </c>
      <c r="N11" s="31">
        <v>20</v>
      </c>
      <c r="O11" s="31">
        <v>755</v>
      </c>
      <c r="P11" s="89">
        <f>B11-'[4]7歷年退離(公)-OK'!B11</f>
        <v>0</v>
      </c>
      <c r="Q11" s="89">
        <f>C11-'[4]7歷年退離(公)-OK'!C11</f>
        <v>0</v>
      </c>
      <c r="R11" s="89">
        <f>D11-'[4]7歷年退離(公)-OK'!D11</f>
        <v>0</v>
      </c>
      <c r="S11" s="89">
        <f>E11-'[4]7歷年退離(公)-OK'!E11</f>
        <v>0</v>
      </c>
      <c r="T11" s="89">
        <f>F11-'[4]7歷年退離(公)-OK'!F11</f>
        <v>0</v>
      </c>
      <c r="U11" s="89">
        <f>G11-'[4]7歷年退離(公)-OK'!G11</f>
        <v>0</v>
      </c>
      <c r="V11" s="89">
        <f>H11-'[4]7歷年退離(公)-OK'!H11</f>
        <v>0</v>
      </c>
      <c r="W11" s="89">
        <f>I11-'[4]7歷年退離(公)-OK'!I11</f>
        <v>0</v>
      </c>
      <c r="X11" s="89">
        <f>J11-'[4]7歷年退離(公)-OK'!J11</f>
        <v>0</v>
      </c>
      <c r="Y11" s="89">
        <f>K11-'[4]7歷年退離(公)-OK'!K11</f>
        <v>0</v>
      </c>
      <c r="Z11" s="89">
        <f>L11-'[4]7歷年退離(公)-OK'!L11</f>
        <v>0</v>
      </c>
      <c r="AA11" s="89">
        <f>M11-'[4]7歷年退離(公)-OK'!M11</f>
        <v>0</v>
      </c>
      <c r="AB11" s="89">
        <f>N11-'[4]7歷年退離(公)-OK'!N11</f>
        <v>0</v>
      </c>
      <c r="AC11" s="89">
        <f>O11-'[4]7歷年退離(公)-OK'!O11</f>
        <v>0</v>
      </c>
    </row>
    <row r="12" spans="1:29" s="8" customFormat="1" ht="53.1" customHeight="1">
      <c r="A12" s="114" t="s">
        <v>7</v>
      </c>
      <c r="B12" s="30">
        <f t="shared" si="1"/>
        <v>10686</v>
      </c>
      <c r="C12" s="31">
        <f t="shared" si="5"/>
        <v>9679</v>
      </c>
      <c r="D12" s="31">
        <v>383</v>
      </c>
      <c r="E12" s="31">
        <v>9214</v>
      </c>
      <c r="F12" s="31">
        <v>82</v>
      </c>
      <c r="G12" s="31">
        <v>18</v>
      </c>
      <c r="H12" s="30">
        <f t="shared" si="2"/>
        <v>213</v>
      </c>
      <c r="I12" s="31">
        <f t="shared" si="3"/>
        <v>187</v>
      </c>
      <c r="J12" s="31">
        <v>36</v>
      </c>
      <c r="K12" s="31">
        <v>151</v>
      </c>
      <c r="L12" s="31">
        <f t="shared" si="4"/>
        <v>26</v>
      </c>
      <c r="M12" s="31">
        <v>0</v>
      </c>
      <c r="N12" s="31">
        <v>26</v>
      </c>
      <c r="O12" s="31">
        <v>776</v>
      </c>
      <c r="P12" s="89">
        <f>B12-'[4]7歷年退離(公)-OK'!B12</f>
        <v>0</v>
      </c>
      <c r="Q12" s="89">
        <f>C12-'[4]7歷年退離(公)-OK'!C12</f>
        <v>0</v>
      </c>
      <c r="R12" s="89">
        <f>D12-'[4]7歷年退離(公)-OK'!D12</f>
        <v>0</v>
      </c>
      <c r="S12" s="89">
        <f>E12-'[4]7歷年退離(公)-OK'!E12</f>
        <v>0</v>
      </c>
      <c r="T12" s="89">
        <f>F12-'[4]7歷年退離(公)-OK'!F12</f>
        <v>0</v>
      </c>
      <c r="U12" s="89">
        <f>G12-'[4]7歷年退離(公)-OK'!G12</f>
        <v>0</v>
      </c>
      <c r="V12" s="89">
        <f>H12-'[4]7歷年退離(公)-OK'!H12</f>
        <v>0</v>
      </c>
      <c r="W12" s="89">
        <f>I12-'[4]7歷年退離(公)-OK'!I12</f>
        <v>0</v>
      </c>
      <c r="X12" s="89">
        <f>J12-'[4]7歷年退離(公)-OK'!J12</f>
        <v>0</v>
      </c>
      <c r="Y12" s="89">
        <f>K12-'[4]7歷年退離(公)-OK'!K12</f>
        <v>0</v>
      </c>
      <c r="Z12" s="89">
        <f>L12-'[4]7歷年退離(公)-OK'!L12</f>
        <v>0</v>
      </c>
      <c r="AA12" s="89">
        <f>M12-'[4]7歷年退離(公)-OK'!M12</f>
        <v>0</v>
      </c>
      <c r="AB12" s="89">
        <f>N12-'[4]7歷年退離(公)-OK'!N12</f>
        <v>0</v>
      </c>
      <c r="AC12" s="89">
        <f>O12-'[4]7歷年退離(公)-OK'!O12</f>
        <v>0</v>
      </c>
    </row>
    <row r="13" spans="1:29" s="8" customFormat="1" ht="53.1" customHeight="1">
      <c r="A13" s="114" t="s">
        <v>241</v>
      </c>
      <c r="B13" s="30">
        <f>C13+G13+H13+O13</f>
        <v>12947</v>
      </c>
      <c r="C13" s="31">
        <f t="shared" si="5"/>
        <v>11803</v>
      </c>
      <c r="D13" s="31">
        <v>387</v>
      </c>
      <c r="E13" s="31">
        <v>11334</v>
      </c>
      <c r="F13" s="31">
        <v>82</v>
      </c>
      <c r="G13" s="31">
        <v>14</v>
      </c>
      <c r="H13" s="30">
        <f t="shared" si="2"/>
        <v>205</v>
      </c>
      <c r="I13" s="31">
        <f t="shared" si="3"/>
        <v>196</v>
      </c>
      <c r="J13" s="31">
        <v>44</v>
      </c>
      <c r="K13" s="31">
        <v>152</v>
      </c>
      <c r="L13" s="31">
        <f t="shared" si="4"/>
        <v>9</v>
      </c>
      <c r="M13" s="31">
        <v>0</v>
      </c>
      <c r="N13" s="31">
        <v>9</v>
      </c>
      <c r="O13" s="31">
        <v>925</v>
      </c>
      <c r="P13" s="89">
        <f>B13-'[4]7歷年退離(公)-OK'!B13</f>
        <v>0</v>
      </c>
      <c r="Q13" s="89">
        <f>C13-'[4]7歷年退離(公)-OK'!C13</f>
        <v>0</v>
      </c>
      <c r="R13" s="89">
        <f>D13-'[4]7歷年退離(公)-OK'!D13</f>
        <v>0</v>
      </c>
      <c r="S13" s="89">
        <f>E13-'[4]7歷年退離(公)-OK'!E13</f>
        <v>0</v>
      </c>
      <c r="T13" s="89">
        <f>F13-'[4]7歷年退離(公)-OK'!F13</f>
        <v>0</v>
      </c>
      <c r="U13" s="89">
        <f>G13-'[4]7歷年退離(公)-OK'!G13</f>
        <v>0</v>
      </c>
      <c r="V13" s="89">
        <f>H13-'[4]7歷年退離(公)-OK'!H13</f>
        <v>0</v>
      </c>
      <c r="W13" s="89">
        <f>I13-'[4]7歷年退離(公)-OK'!I13</f>
        <v>0</v>
      </c>
      <c r="X13" s="89">
        <f>J13-'[4]7歷年退離(公)-OK'!J13</f>
        <v>0</v>
      </c>
      <c r="Y13" s="89">
        <f>K13-'[4]7歷年退離(公)-OK'!K13</f>
        <v>0</v>
      </c>
      <c r="Z13" s="89">
        <f>L13-'[4]7歷年退離(公)-OK'!L13</f>
        <v>0</v>
      </c>
      <c r="AA13" s="89">
        <f>M13-'[4]7歷年退離(公)-OK'!M13</f>
        <v>0</v>
      </c>
      <c r="AB13" s="89">
        <f>N13-'[4]7歷年退離(公)-OK'!N13</f>
        <v>0</v>
      </c>
      <c r="AC13" s="89">
        <f>O13-'[4]7歷年退離(公)-OK'!O13</f>
        <v>0</v>
      </c>
    </row>
    <row r="14" spans="1:29" s="8" customFormat="1" ht="53.1" customHeight="1">
      <c r="A14" s="114" t="s">
        <v>99</v>
      </c>
      <c r="B14" s="30">
        <f>C14+G14+H14+O14</f>
        <v>10799</v>
      </c>
      <c r="C14" s="31">
        <f t="shared" si="5"/>
        <v>9584</v>
      </c>
      <c r="D14" s="31">
        <v>402</v>
      </c>
      <c r="E14" s="31">
        <v>9111</v>
      </c>
      <c r="F14" s="31">
        <v>71</v>
      </c>
      <c r="G14" s="31">
        <v>12</v>
      </c>
      <c r="H14" s="30">
        <f t="shared" si="2"/>
        <v>236</v>
      </c>
      <c r="I14" s="31">
        <f t="shared" si="3"/>
        <v>227</v>
      </c>
      <c r="J14" s="31">
        <v>58</v>
      </c>
      <c r="K14" s="31">
        <v>169</v>
      </c>
      <c r="L14" s="31">
        <f t="shared" si="4"/>
        <v>9</v>
      </c>
      <c r="M14" s="31">
        <v>0</v>
      </c>
      <c r="N14" s="31">
        <v>9</v>
      </c>
      <c r="O14" s="31">
        <v>967</v>
      </c>
      <c r="P14" s="89">
        <f>B14-'[4]7歷年退離(公)-OK'!B14</f>
        <v>0</v>
      </c>
      <c r="Q14" s="89">
        <f>C14-'[4]7歷年退離(公)-OK'!C14</f>
        <v>0</v>
      </c>
      <c r="R14" s="89">
        <f>D14-'[4]7歷年退離(公)-OK'!D14</f>
        <v>0</v>
      </c>
      <c r="S14" s="89">
        <f>E14-'[4]7歷年退離(公)-OK'!E14</f>
        <v>0</v>
      </c>
      <c r="T14" s="89">
        <f>F14-'[4]7歷年退離(公)-OK'!F14</f>
        <v>0</v>
      </c>
      <c r="U14" s="89">
        <f>G14-'[4]7歷年退離(公)-OK'!G14</f>
        <v>0</v>
      </c>
      <c r="V14" s="89">
        <f>H14-'[4]7歷年退離(公)-OK'!H14</f>
        <v>0</v>
      </c>
      <c r="W14" s="89">
        <f>I14-'[4]7歷年退離(公)-OK'!I14</f>
        <v>0</v>
      </c>
      <c r="X14" s="89">
        <f>J14-'[4]7歷年退離(公)-OK'!J14</f>
        <v>0</v>
      </c>
      <c r="Y14" s="89">
        <f>K14-'[4]7歷年退離(公)-OK'!K14</f>
        <v>0</v>
      </c>
      <c r="Z14" s="89">
        <f>L14-'[4]7歷年退離(公)-OK'!L14</f>
        <v>0</v>
      </c>
      <c r="AA14" s="89">
        <f>M14-'[4]7歷年退離(公)-OK'!M14</f>
        <v>0</v>
      </c>
      <c r="AB14" s="89">
        <f>N14-'[4]7歷年退離(公)-OK'!N14</f>
        <v>0</v>
      </c>
      <c r="AC14" s="89">
        <f>O14-'[4]7歷年退離(公)-OK'!O14</f>
        <v>0</v>
      </c>
    </row>
    <row r="15" spans="1:29" s="8" customFormat="1" ht="53.1" customHeight="1">
      <c r="A15" s="114" t="s">
        <v>269</v>
      </c>
      <c r="B15" s="30">
        <f>C15+G15+H15+O15</f>
        <v>8280</v>
      </c>
      <c r="C15" s="31">
        <f>SUM(D15:F15)</f>
        <v>6915</v>
      </c>
      <c r="D15" s="31">
        <v>565</v>
      </c>
      <c r="E15" s="31">
        <v>6287</v>
      </c>
      <c r="F15" s="31">
        <v>63</v>
      </c>
      <c r="G15" s="31">
        <v>12</v>
      </c>
      <c r="H15" s="30">
        <f t="shared" si="2"/>
        <v>227</v>
      </c>
      <c r="I15" s="31">
        <f t="shared" si="3"/>
        <v>221</v>
      </c>
      <c r="J15" s="31">
        <v>69</v>
      </c>
      <c r="K15" s="31">
        <v>152</v>
      </c>
      <c r="L15" s="31">
        <f t="shared" si="4"/>
        <v>6</v>
      </c>
      <c r="M15" s="31">
        <v>0</v>
      </c>
      <c r="N15" s="31">
        <v>6</v>
      </c>
      <c r="O15" s="31">
        <v>1126</v>
      </c>
      <c r="P15" s="89">
        <f>B15-'[4]7歷年退離(公)-OK'!B15</f>
        <v>0</v>
      </c>
      <c r="Q15" s="89">
        <f>C15-'[4]7歷年退離(公)-OK'!C15</f>
        <v>0</v>
      </c>
      <c r="R15" s="89">
        <f>D15-'[4]7歷年退離(公)-OK'!D15</f>
        <v>0</v>
      </c>
      <c r="S15" s="89">
        <f>E15-'[4]7歷年退離(公)-OK'!E15</f>
        <v>0</v>
      </c>
      <c r="T15" s="89">
        <f>F15-'[4]7歷年退離(公)-OK'!F15</f>
        <v>0</v>
      </c>
      <c r="U15" s="89">
        <f>G15-'[4]7歷年退離(公)-OK'!G15</f>
        <v>0</v>
      </c>
      <c r="V15" s="89">
        <f>H15-'[4]7歷年退離(公)-OK'!H15</f>
        <v>0</v>
      </c>
      <c r="W15" s="89">
        <f>I15-'[4]7歷年退離(公)-OK'!I15</f>
        <v>0</v>
      </c>
      <c r="X15" s="89">
        <f>J15-'[4]7歷年退離(公)-OK'!J15</f>
        <v>0</v>
      </c>
      <c r="Y15" s="89">
        <f>K15-'[4]7歷年退離(公)-OK'!K15</f>
        <v>0</v>
      </c>
      <c r="Z15" s="89">
        <f>L15-'[4]7歷年退離(公)-OK'!L15</f>
        <v>0</v>
      </c>
      <c r="AA15" s="89">
        <f>M15-'[4]7歷年退離(公)-OK'!M15</f>
        <v>0</v>
      </c>
      <c r="AB15" s="89">
        <f>N15-'[4]7歷年退離(公)-OK'!N15</f>
        <v>0</v>
      </c>
      <c r="AC15" s="89">
        <f>O15-'[4]7歷年退離(公)-OK'!O15</f>
        <v>0</v>
      </c>
    </row>
    <row r="16" spans="1:29" s="8" customFormat="1" ht="53.1" customHeight="1">
      <c r="A16" s="114" t="s">
        <v>242</v>
      </c>
      <c r="B16" s="30">
        <f>C16+G16+H16+O16</f>
        <v>8207</v>
      </c>
      <c r="C16" s="31">
        <f>SUM(D16:F16)</f>
        <v>6427</v>
      </c>
      <c r="D16" s="31">
        <v>669</v>
      </c>
      <c r="E16" s="31">
        <v>5712</v>
      </c>
      <c r="F16" s="31">
        <v>46</v>
      </c>
      <c r="G16" s="31">
        <v>6</v>
      </c>
      <c r="H16" s="30">
        <f t="shared" si="2"/>
        <v>158</v>
      </c>
      <c r="I16" s="31">
        <f t="shared" si="3"/>
        <v>147</v>
      </c>
      <c r="J16" s="31">
        <v>45</v>
      </c>
      <c r="K16" s="31">
        <v>102</v>
      </c>
      <c r="L16" s="31">
        <f t="shared" si="4"/>
        <v>11</v>
      </c>
      <c r="M16" s="31">
        <v>0</v>
      </c>
      <c r="N16" s="31">
        <v>11</v>
      </c>
      <c r="O16" s="31">
        <f>953+663</f>
        <v>1616</v>
      </c>
      <c r="P16" s="89">
        <f>B16-'[4]7歷年退離(公)-OK'!B16</f>
        <v>0</v>
      </c>
      <c r="Q16" s="89">
        <f>C16-'[4]7歷年退離(公)-OK'!C16</f>
        <v>0</v>
      </c>
      <c r="R16" s="89">
        <f>D16-'[4]7歷年退離(公)-OK'!D16</f>
        <v>0</v>
      </c>
      <c r="S16" s="89">
        <f>E16-'[4]7歷年退離(公)-OK'!E16</f>
        <v>0</v>
      </c>
      <c r="T16" s="89">
        <f>F16-'[4]7歷年退離(公)-OK'!F16</f>
        <v>0</v>
      </c>
      <c r="U16" s="89">
        <f>G16-'[4]7歷年退離(公)-OK'!G16</f>
        <v>0</v>
      </c>
      <c r="V16" s="89">
        <f>H16-'[4]7歷年退離(公)-OK'!H16</f>
        <v>0</v>
      </c>
      <c r="W16" s="89">
        <f>I16-'[4]7歷年退離(公)-OK'!I16</f>
        <v>0</v>
      </c>
      <c r="X16" s="89">
        <f>J16-'[4]7歷年退離(公)-OK'!J16</f>
        <v>0</v>
      </c>
      <c r="Y16" s="89">
        <f>K16-'[4]7歷年退離(公)-OK'!K16</f>
        <v>0</v>
      </c>
      <c r="Z16" s="89">
        <f>L16-'[4]7歷年退離(公)-OK'!L16</f>
        <v>0</v>
      </c>
      <c r="AA16" s="89">
        <f>M16-'[4]7歷年退離(公)-OK'!M16</f>
        <v>0</v>
      </c>
      <c r="AB16" s="89">
        <f>N16-'[4]7歷年退離(公)-OK'!N16</f>
        <v>0</v>
      </c>
      <c r="AC16" s="89">
        <f>O16-'[4]7歷年退離(公)-OK'!O16</f>
        <v>0</v>
      </c>
    </row>
    <row r="17" spans="1:15" s="8" customFormat="1" ht="53.1" customHeight="1">
      <c r="A17" s="114" t="s">
        <v>389</v>
      </c>
      <c r="B17" s="30">
        <v>8435</v>
      </c>
      <c r="C17" s="31">
        <v>7288</v>
      </c>
      <c r="D17" s="31">
        <v>392</v>
      </c>
      <c r="E17" s="31">
        <v>6851</v>
      </c>
      <c r="F17" s="31">
        <v>45</v>
      </c>
      <c r="G17" s="31">
        <v>9</v>
      </c>
      <c r="H17" s="30">
        <v>209</v>
      </c>
      <c r="I17" s="31">
        <v>194</v>
      </c>
      <c r="J17" s="31">
        <v>58</v>
      </c>
      <c r="K17" s="31">
        <v>136</v>
      </c>
      <c r="L17" s="31">
        <v>15</v>
      </c>
      <c r="M17" s="31">
        <v>1</v>
      </c>
      <c r="N17" s="31">
        <v>14</v>
      </c>
      <c r="O17" s="31">
        <v>929</v>
      </c>
    </row>
    <row r="18" spans="1:15" s="15" customFormat="1" ht="28.5" customHeight="1">
      <c r="A18" s="831" t="s">
        <v>361</v>
      </c>
      <c r="B18" s="831"/>
      <c r="C18" s="831"/>
      <c r="D18" s="831"/>
      <c r="E18" s="831"/>
      <c r="F18" s="831"/>
      <c r="G18" s="831"/>
      <c r="H18" s="831"/>
      <c r="I18" s="831"/>
      <c r="J18" s="831"/>
      <c r="K18" s="831"/>
      <c r="L18" s="831"/>
      <c r="M18" s="831"/>
      <c r="N18" s="831"/>
      <c r="O18" s="831"/>
    </row>
    <row r="19" spans="1:15" ht="20.100000000000001" customHeight="1">
      <c r="A19" s="61" t="s">
        <v>359</v>
      </c>
      <c r="B19" s="116">
        <f>SUM(B7:O15)-SUM('[1]7歷年退離(公)'!$B$8:$O$16)</f>
        <v>0</v>
      </c>
      <c r="C19" s="13"/>
      <c r="D19" s="13"/>
      <c r="E19" s="13"/>
      <c r="F19" s="13"/>
      <c r="G19" s="13"/>
      <c r="H19" s="13"/>
      <c r="I19" s="13"/>
      <c r="J19" s="13"/>
      <c r="K19" s="13"/>
      <c r="L19" s="13"/>
      <c r="M19" s="13"/>
      <c r="N19" s="13"/>
      <c r="O19" s="13"/>
    </row>
  </sheetData>
  <mergeCells count="18">
    <mergeCell ref="A18:O18"/>
    <mergeCell ref="F4:F5"/>
    <mergeCell ref="H4:H5"/>
    <mergeCell ref="A3:A5"/>
    <mergeCell ref="B3:B5"/>
    <mergeCell ref="C3:F3"/>
    <mergeCell ref="O3:O5"/>
    <mergeCell ref="L4:N4"/>
    <mergeCell ref="C4:C5"/>
    <mergeCell ref="I4:K4"/>
    <mergeCell ref="G3:G5"/>
    <mergeCell ref="D4:D5"/>
    <mergeCell ref="E4:E5"/>
    <mergeCell ref="H3:N3"/>
    <mergeCell ref="A1:H1"/>
    <mergeCell ref="I1:O1"/>
    <mergeCell ref="A2:H2"/>
    <mergeCell ref="I2:N2"/>
  </mergeCells>
  <phoneticPr fontId="3" type="noConversion"/>
  <pageMargins left="0.62992125984251968" right="0" top="0.59055118110236227" bottom="0.47244094488188981" header="0" footer="0"/>
  <pageSetup paperSize="9"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70</vt:i4>
      </vt:variant>
      <vt:variant>
        <vt:lpstr>已命名的範圍</vt:lpstr>
      </vt:variant>
      <vt:variant>
        <vt:i4>72</vt:i4>
      </vt:variant>
    </vt:vector>
  </HeadingPairs>
  <TitlesOfParts>
    <vt:vector size="142" baseType="lpstr">
      <vt:lpstr>1機關數-OK</vt:lpstr>
      <vt:lpstr>2人數-OK</vt:lpstr>
      <vt:lpstr>2人數性別附表-按政府別</vt:lpstr>
      <vt:lpstr>2人數性別附表-按身分別</vt:lpstr>
      <vt:lpstr>3歷年退休-OK</vt:lpstr>
      <vt:lpstr>4歷年撫卹-OK</vt:lpstr>
      <vt:lpstr>5歷年離退-OK</vt:lpstr>
      <vt:lpstr>6歷年退離(政)-OK</vt:lpstr>
      <vt:lpstr>7歷年退離(公)-OK</vt:lpstr>
      <vt:lpstr>8歷年退離(教)-OK</vt:lpstr>
      <vt:lpstr>9歷年退離(軍)-OK</vt:lpstr>
      <vt:lpstr>10當年退離(政)-性別</vt:lpstr>
      <vt:lpstr>11當年退離(公)-性別</vt:lpstr>
      <vt:lpstr>12當年退離(教)-性別</vt:lpstr>
      <vt:lpstr>13當年退休-性別</vt:lpstr>
      <vt:lpstr>14退休(政)-性別</vt:lpstr>
      <vt:lpstr>15退休(公)-性別</vt:lpstr>
      <vt:lpstr>16退休(教)-性別</vt:lpstr>
      <vt:lpstr>17退伍(軍)-性別</vt:lpstr>
      <vt:lpstr>18當年撫卹(總)-性別</vt:lpstr>
      <vt:lpstr>19撫卹(政)-性別</vt:lpstr>
      <vt:lpstr>20撫卹(公)-性別</vt:lpstr>
      <vt:lpstr>21撫卹(教)-性別</vt:lpstr>
      <vt:lpstr>22撫卹(軍)-性別</vt:lpstr>
      <vt:lpstr>23當年離退-性別</vt:lpstr>
      <vt:lpstr>24退休平均俸額-性別</vt:lpstr>
      <vt:lpstr>25撫卹平均俸額-性別</vt:lpstr>
      <vt:lpstr>26參加者平均俸額-OK</vt:lpstr>
      <vt:lpstr>27平均俸額(總表)-OK</vt:lpstr>
      <vt:lpstr>28平均俸額(一次退)-OK</vt:lpstr>
      <vt:lpstr>29平均俸額(月退)-OK</vt:lpstr>
      <vt:lpstr>30退休平均年齡-OK</vt:lpstr>
      <vt:lpstr>31平均年齡(政)-OK</vt:lpstr>
      <vt:lpstr>32平均年齡(公)-OK</vt:lpstr>
      <vt:lpstr>33平均年齡(教)-OK</vt:lpstr>
      <vt:lpstr>34平均年齡(軍)-OK</vt:lpstr>
      <vt:lpstr>35一次撫慰金人數-OK</vt:lpstr>
      <vt:lpstr>36配偶平均年齡-OK</vt:lpstr>
      <vt:lpstr>37父母平均年齡-OK</vt:lpstr>
      <vt:lpstr>38子女平均年齡-OK</vt:lpstr>
      <vt:lpstr>39作業收支(累計)-OK</vt:lpstr>
      <vt:lpstr>40支出(政)(政府別)-OK</vt:lpstr>
      <vt:lpstr>41支出(公)(政府別)-OK</vt:lpstr>
      <vt:lpstr>42支出(教)(政府別)</vt:lpstr>
      <vt:lpstr>43支出(總)</vt:lpstr>
      <vt:lpstr>44支出(政)</vt:lpstr>
      <vt:lpstr>45支出(公)</vt:lpstr>
      <vt:lpstr>46支出(教)-OK  </vt:lpstr>
      <vt:lpstr>47支出(軍)-OK</vt:lpstr>
      <vt:lpstr>48定撥(歷年)o </vt:lpstr>
      <vt:lpstr>49定撥(當年度)o</vt:lpstr>
      <vt:lpstr>50規畫表-OK</vt:lpstr>
      <vt:lpstr>51規畫比較表-OK</vt:lpstr>
      <vt:lpstr>52運用收益 (含實際)-OK </vt:lpstr>
      <vt:lpstr>53平衡表-OK </vt:lpstr>
      <vt:lpstr>54資產明細-OK </vt:lpstr>
      <vt:lpstr>55收支表-1</vt:lpstr>
      <vt:lpstr>56預決算-OK </vt:lpstr>
      <vt:lpstr>57委託人權益-OK</vt:lpstr>
      <vt:lpstr>附錄1提撥進度表-OK</vt:lpstr>
      <vt:lpstr>精算基礎(1)-OK</vt:lpstr>
      <vt:lpstr>精算基礎(2)-OK</vt:lpstr>
      <vt:lpstr>附錄2國內委託經營(彙總)-OK</vt:lpstr>
      <vt:lpstr>附錄3國外委託經營(彙總)-OK</vt:lpstr>
      <vt:lpstr>附錄4行政經費-OK</vt:lpstr>
      <vt:lpstr>附錄5員額配置-OK</vt:lpstr>
      <vt:lpstr>附錄6教育程度-OK</vt:lpstr>
      <vt:lpstr>附錄7考試類別-0</vt:lpstr>
      <vt:lpstr>附錄8年齡分布-OK</vt:lpstr>
      <vt:lpstr>附錄9任職年資-OK</vt:lpstr>
      <vt:lpstr>'10當年退離(政)-性別'!Print_Area</vt:lpstr>
      <vt:lpstr>'11當年退離(公)-性別'!Print_Area</vt:lpstr>
      <vt:lpstr>'12當年退離(教)-性別'!Print_Area</vt:lpstr>
      <vt:lpstr>'13當年退休-性別'!Print_Area</vt:lpstr>
      <vt:lpstr>'14退休(政)-性別'!Print_Area</vt:lpstr>
      <vt:lpstr>'15退休(公)-性別'!Print_Area</vt:lpstr>
      <vt:lpstr>'16退休(教)-性別'!Print_Area</vt:lpstr>
      <vt:lpstr>'17退伍(軍)-性別'!Print_Area</vt:lpstr>
      <vt:lpstr>'18當年撫卹(總)-性別'!Print_Area</vt:lpstr>
      <vt:lpstr>'19撫卹(政)-性別'!Print_Area</vt:lpstr>
      <vt:lpstr>'1機關數-OK'!Print_Area</vt:lpstr>
      <vt:lpstr>'20撫卹(公)-性別'!Print_Area</vt:lpstr>
      <vt:lpstr>'21撫卹(教)-性別'!Print_Area</vt:lpstr>
      <vt:lpstr>'22撫卹(軍)-性別'!Print_Area</vt:lpstr>
      <vt:lpstr>'23當年離退-性別'!Print_Area</vt:lpstr>
      <vt:lpstr>'24退休平均俸額-性別'!Print_Area</vt:lpstr>
      <vt:lpstr>'25撫卹平均俸額-性別'!Print_Area</vt:lpstr>
      <vt:lpstr>'26參加者平均俸額-OK'!Print_Area</vt:lpstr>
      <vt:lpstr>'27平均俸額(總表)-OK'!Print_Area</vt:lpstr>
      <vt:lpstr>'28平均俸額(一次退)-OK'!Print_Area</vt:lpstr>
      <vt:lpstr>'29平均俸額(月退)-OK'!Print_Area</vt:lpstr>
      <vt:lpstr>'2人數-OK'!Print_Area</vt:lpstr>
      <vt:lpstr>'2人數性別附表-按身分別'!Print_Area</vt:lpstr>
      <vt:lpstr>'2人數性別附表-按政府別'!Print_Area</vt:lpstr>
      <vt:lpstr>'30退休平均年齡-OK'!Print_Area</vt:lpstr>
      <vt:lpstr>'31平均年齡(政)-OK'!Print_Area</vt:lpstr>
      <vt:lpstr>'32平均年齡(公)-OK'!Print_Area</vt:lpstr>
      <vt:lpstr>'33平均年齡(教)-OK'!Print_Area</vt:lpstr>
      <vt:lpstr>'34平均年齡(軍)-OK'!Print_Area</vt:lpstr>
      <vt:lpstr>'35一次撫慰金人數-OK'!Print_Area</vt:lpstr>
      <vt:lpstr>'36配偶平均年齡-OK'!Print_Area</vt:lpstr>
      <vt:lpstr>'37父母平均年齡-OK'!Print_Area</vt:lpstr>
      <vt:lpstr>'38子女平均年齡-OK'!Print_Area</vt:lpstr>
      <vt:lpstr>'39作業收支(累計)-OK'!Print_Area</vt:lpstr>
      <vt:lpstr>'3歷年退休-OK'!Print_Area</vt:lpstr>
      <vt:lpstr>'40支出(政)(政府別)-OK'!Print_Area</vt:lpstr>
      <vt:lpstr>'41支出(公)(政府別)-OK'!Print_Area</vt:lpstr>
      <vt:lpstr>'42支出(教)(政府別)'!Print_Area</vt:lpstr>
      <vt:lpstr>'43支出(總)'!Print_Area</vt:lpstr>
      <vt:lpstr>'44支出(政)'!Print_Area</vt:lpstr>
      <vt:lpstr>'45支出(公)'!Print_Area</vt:lpstr>
      <vt:lpstr>'46支出(教)-OK  '!Print_Area</vt:lpstr>
      <vt:lpstr>'47支出(軍)-OK'!Print_Area</vt:lpstr>
      <vt:lpstr>'48定撥(歷年)o '!Print_Area</vt:lpstr>
      <vt:lpstr>'49定撥(當年度)o'!Print_Area</vt:lpstr>
      <vt:lpstr>'4歷年撫卹-OK'!Print_Area</vt:lpstr>
      <vt:lpstr>'50規畫表-OK'!Print_Area</vt:lpstr>
      <vt:lpstr>'51規畫比較表-OK'!Print_Area</vt:lpstr>
      <vt:lpstr>'52運用收益 (含實際)-OK '!Print_Area</vt:lpstr>
      <vt:lpstr>'53平衡表-OK '!Print_Area</vt:lpstr>
      <vt:lpstr>'54資產明細-OK '!Print_Area</vt:lpstr>
      <vt:lpstr>'55收支表-1'!Print_Area</vt:lpstr>
      <vt:lpstr>'56預決算-OK '!Print_Area</vt:lpstr>
      <vt:lpstr>'57委託人權益-OK'!Print_Area</vt:lpstr>
      <vt:lpstr>'5歷年離退-OK'!Print_Area</vt:lpstr>
      <vt:lpstr>'6歷年退離(政)-OK'!Print_Area</vt:lpstr>
      <vt:lpstr>'7歷年退離(公)-OK'!Print_Area</vt:lpstr>
      <vt:lpstr>'8歷年退離(教)-OK'!Print_Area</vt:lpstr>
      <vt:lpstr>'9歷年退離(軍)-OK'!Print_Area</vt:lpstr>
      <vt:lpstr>'附錄1提撥進度表-OK'!Print_Area</vt:lpstr>
      <vt:lpstr>'附錄2國內委託經營(彙總)-OK'!Print_Area</vt:lpstr>
      <vt:lpstr>'附錄3國外委託經營(彙總)-OK'!Print_Area</vt:lpstr>
      <vt:lpstr>'附錄4行政經費-OK'!Print_Area</vt:lpstr>
      <vt:lpstr>'附錄5員額配置-OK'!Print_Area</vt:lpstr>
      <vt:lpstr>'附錄6教育程度-OK'!Print_Area</vt:lpstr>
      <vt:lpstr>'附錄7考試類別-0'!Print_Area</vt:lpstr>
      <vt:lpstr>'附錄8年齡分布-OK'!Print_Area</vt:lpstr>
      <vt:lpstr>'附錄9任職年資-OK'!Print_Area</vt:lpstr>
      <vt:lpstr>'13當年退休-性別'!Print_Titles</vt:lpstr>
      <vt:lpstr>'15退休(公)-性別'!Print_Titles</vt:lpstr>
      <vt:lpstr>'16退休(教)-性別'!Print_Titles</vt:lpstr>
      <vt:lpstr>'17退伍(軍)-性別'!Print_Titles</vt:lpstr>
    </vt:vector>
  </TitlesOfParts>
  <Company>PSPF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簡淑玫</dc:creator>
  <cp:lastModifiedBy>張孟婷</cp:lastModifiedBy>
  <cp:lastPrinted>2020-05-05T06:21:35Z</cp:lastPrinted>
  <dcterms:created xsi:type="dcterms:W3CDTF">2017-01-12T07:56:35Z</dcterms:created>
  <dcterms:modified xsi:type="dcterms:W3CDTF">2020-05-29T08:53:35Z</dcterms:modified>
</cp:coreProperties>
</file>