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480" windowWidth="15330" windowHeight="5775" activeTab="2"/>
  </bookViews>
  <sheets>
    <sheet name="表頭" sheetId="1" r:id="rId1"/>
    <sheet name="表1" sheetId="2" r:id="rId2"/>
    <sheet name="表2" sheetId="3" r:id="rId3"/>
    <sheet name="表3" sheetId="4" r:id="rId4"/>
    <sheet name="表4" sheetId="5" r:id="rId5"/>
    <sheet name="附表5" sheetId="6" r:id="rId6"/>
    <sheet name="附表5-1政" sheetId="7" r:id="rId7"/>
    <sheet name="附表5-2公" sheetId="8" r:id="rId8"/>
    <sheet name="附表5-3-教" sheetId="9" r:id="rId9"/>
    <sheet name="附表5-4-軍" sheetId="10" r:id="rId10"/>
  </sheets>
  <definedNames>
    <definedName name="_xlnm.Print_Area" localSheetId="1">'表1'!$A:$G</definedName>
    <definedName name="_xlnm.Print_Area" localSheetId="2">'表2'!$A$1:$AA$70</definedName>
    <definedName name="_xlnm.Print_Area" localSheetId="3">'表3'!$A:$P</definedName>
    <definedName name="_xlnm.Print_Area" localSheetId="4">'表4'!$A$1:$AE$69</definedName>
    <definedName name="_xlnm.Print_Area" localSheetId="0">'表頭'!$A$1:$F$18</definedName>
    <definedName name="_xlnm.Print_Area" localSheetId="5">'附表5'!$A$1:$AG$65</definedName>
  </definedNames>
  <calcPr fullCalcOnLoad="1"/>
</workbook>
</file>

<file path=xl/comments4.xml><?xml version="1.0" encoding="utf-8"?>
<comments xmlns="http://schemas.openxmlformats.org/spreadsheetml/2006/main">
  <authors>
    <author>mable</author>
  </authors>
  <commentList>
    <comment ref="O15" authorId="0">
      <text>
        <r>
          <rPr>
            <b/>
            <sz val="9"/>
            <rFont val="新細明體"/>
            <family val="1"/>
          </rPr>
          <t xml:space="preserve">mable:99年度
</t>
        </r>
        <r>
          <rPr>
            <sz val="9"/>
            <rFont val="新細明體"/>
            <family val="1"/>
          </rPr>
          <t xml:space="preserve"> 提列      2,957,271千元
減</t>
        </r>
        <r>
          <rPr>
            <u val="single"/>
            <sz val="9"/>
            <rFont val="新細明體"/>
            <family val="1"/>
          </rPr>
          <t xml:space="preserve">：撥補  167,000千元   </t>
        </r>
        <r>
          <rPr>
            <sz val="9"/>
            <rFont val="新細明體"/>
            <family val="1"/>
          </rPr>
          <t xml:space="preserve">
=            2,790,271千元  
</t>
        </r>
      </text>
    </comment>
  </commentList>
</comments>
</file>

<file path=xl/sharedStrings.xml><?xml version="1.0" encoding="utf-8"?>
<sst xmlns="http://schemas.openxmlformats.org/spreadsheetml/2006/main" count="969" uniqueCount="244">
  <si>
    <t>公務人員退休撫卹基金</t>
  </si>
  <si>
    <t xml:space="preserve">     公務人員退休撫卹基金監理委員會</t>
  </si>
  <si>
    <t xml:space="preserve">     公務人員退休撫卹基金管理委員會</t>
  </si>
  <si>
    <t xml:space="preserve">                                 </t>
  </si>
  <si>
    <t>一. 參加公務人員退休撫卹基金機關(構)學校數</t>
  </si>
  <si>
    <t>合  計</t>
  </si>
  <si>
    <t>中央政府</t>
  </si>
  <si>
    <t>縣市政府</t>
  </si>
  <si>
    <t>鄉鎮</t>
  </si>
  <si>
    <t>市公所</t>
  </si>
  <si>
    <t>期底結構比</t>
  </si>
  <si>
    <r>
      <t>二</t>
    </r>
    <r>
      <rPr>
        <b/>
        <sz val="12"/>
        <rFont val="標楷體"/>
        <family val="4"/>
      </rPr>
      <t>.參加公務人員退休撫卹基金人數</t>
    </r>
  </si>
  <si>
    <t>各級政府</t>
  </si>
  <si>
    <t>合計</t>
  </si>
  <si>
    <t>公務人員</t>
  </si>
  <si>
    <t>教育人員</t>
  </si>
  <si>
    <t>軍職人員</t>
  </si>
  <si>
    <t>小計</t>
  </si>
  <si>
    <t>三.公務人員退休撫卹基金收支表</t>
  </si>
  <si>
    <t>當月數</t>
  </si>
  <si>
    <t>累計數</t>
  </si>
  <si>
    <t>賸餘</t>
  </si>
  <si>
    <t>收入</t>
  </si>
  <si>
    <t>支出</t>
  </si>
  <si>
    <t>(短絀)</t>
  </si>
  <si>
    <t>基金收入</t>
  </si>
  <si>
    <t>財務收入</t>
  </si>
  <si>
    <t>其他收入</t>
  </si>
  <si>
    <t>退撫支出</t>
  </si>
  <si>
    <t>財務支出</t>
  </si>
  <si>
    <t>存放金融機構</t>
  </si>
  <si>
    <t>購買票券</t>
  </si>
  <si>
    <t>購買債券</t>
  </si>
  <si>
    <t>預付款項</t>
  </si>
  <si>
    <t>應收款項</t>
  </si>
  <si>
    <t>總計</t>
  </si>
  <si>
    <t>支票存款</t>
  </si>
  <si>
    <t>短期票券</t>
  </si>
  <si>
    <t>公司債</t>
  </si>
  <si>
    <t>股票</t>
  </si>
  <si>
    <t>受益憑證</t>
  </si>
  <si>
    <t>撫                    卹</t>
  </si>
  <si>
    <t>合   計</t>
  </si>
  <si>
    <t>一次退休(伍)金</t>
  </si>
  <si>
    <t>月退休金(俸)</t>
  </si>
  <si>
    <t>再一次加發補償金</t>
  </si>
  <si>
    <t>資遣</t>
  </si>
  <si>
    <t>一次撫卹金</t>
  </si>
  <si>
    <t>年撫卹金</t>
  </si>
  <si>
    <t>一次撫慰金</t>
  </si>
  <si>
    <t>月撫慰金</t>
  </si>
  <si>
    <t>金額</t>
  </si>
  <si>
    <t xml:space="preserve"> 總   計</t>
  </si>
  <si>
    <t>兼 領</t>
  </si>
  <si>
    <t>教育人員</t>
  </si>
  <si>
    <r>
      <t>公營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事業機構</t>
    </r>
  </si>
  <si>
    <r>
      <t>鄉鎮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市公所</t>
    </r>
  </si>
  <si>
    <t>人次</t>
  </si>
  <si>
    <t>動態統計指標資料</t>
  </si>
  <si>
    <t>政務人員</t>
  </si>
  <si>
    <t>整理收入</t>
  </si>
  <si>
    <t>因公傷病退休金</t>
  </si>
  <si>
    <t>離職退費</t>
  </si>
  <si>
    <r>
      <t xml:space="preserve">退                    </t>
    </r>
    <r>
      <rPr>
        <sz val="8"/>
        <rFont val="Times New Roman"/>
        <family val="1"/>
      </rPr>
      <t xml:space="preserve">                                                     </t>
    </r>
    <r>
      <rPr>
        <sz val="8"/>
        <rFont val="標楷體"/>
        <family val="4"/>
      </rPr>
      <t>休</t>
    </r>
  </si>
  <si>
    <t>未併計年資退費</t>
  </si>
  <si>
    <t>合計</t>
  </si>
  <si>
    <t>退              出</t>
  </si>
  <si>
    <t xml:space="preserve"> </t>
  </si>
  <si>
    <t>年度別</t>
  </si>
  <si>
    <t>年度別</t>
  </si>
  <si>
    <r>
      <t xml:space="preserve">            2</t>
    </r>
    <r>
      <rPr>
        <sz val="8"/>
        <rFont val="標楷體"/>
        <family val="4"/>
      </rPr>
      <t>.公務人員係於每年一月十六日、七月十六日撥付月退休金、月撫慰金、及七月十六日撥付年撫卹金。</t>
    </r>
  </si>
  <si>
    <r>
      <t xml:space="preserve">            2</t>
    </r>
    <r>
      <rPr>
        <sz val="8"/>
        <rFont val="標楷體"/>
        <family val="4"/>
      </rPr>
      <t>.教育人員係於每年一月十六日、七月十六日撥付月退休金、月撫慰金、及七月十六日撥付年撫卹金。</t>
    </r>
  </si>
  <si>
    <r>
      <t xml:space="preserve">            3</t>
    </r>
    <r>
      <rPr>
        <sz val="8"/>
        <rFont val="標楷體"/>
        <family val="4"/>
      </rPr>
      <t>.本表各月之值係指截至當年度該月之累計值。</t>
    </r>
  </si>
  <si>
    <r>
      <t>91</t>
    </r>
    <r>
      <rPr>
        <b/>
        <i/>
        <sz val="10"/>
        <rFont val="標楷體"/>
        <family val="4"/>
      </rPr>
      <t>年度</t>
    </r>
  </si>
  <si>
    <r>
      <t>二</t>
    </r>
    <r>
      <rPr>
        <b/>
        <sz val="12"/>
        <rFont val="標楷體"/>
        <family val="4"/>
      </rPr>
      <t>.參加公務人員退休撫卹基金人數(續)</t>
    </r>
  </si>
  <si>
    <t>人次</t>
  </si>
  <si>
    <r>
      <t>92</t>
    </r>
    <r>
      <rPr>
        <b/>
        <i/>
        <sz val="12"/>
        <rFont val="標楷體"/>
        <family val="4"/>
      </rPr>
      <t>年度</t>
    </r>
  </si>
  <si>
    <r>
      <t>92</t>
    </r>
    <r>
      <rPr>
        <b/>
        <i/>
        <sz val="10"/>
        <rFont val="標楷體"/>
        <family val="4"/>
      </rPr>
      <t>年度</t>
    </r>
  </si>
  <si>
    <t>91年度</t>
  </si>
  <si>
    <t>92年度</t>
  </si>
  <si>
    <t>91年度</t>
  </si>
  <si>
    <t>92年度</t>
  </si>
  <si>
    <t>公債</t>
  </si>
  <si>
    <r>
      <t>單位：人；</t>
    </r>
    <r>
      <rPr>
        <sz val="10"/>
        <rFont val="Times New Roman"/>
        <family val="1"/>
      </rPr>
      <t>%</t>
    </r>
  </si>
  <si>
    <r>
      <t>單位：個；</t>
    </r>
    <r>
      <rPr>
        <sz val="12"/>
        <rFont val="Times New Roman"/>
        <family val="1"/>
      </rPr>
      <t>%</t>
    </r>
  </si>
  <si>
    <t>單位：新臺幣千元；人次；%</t>
  </si>
  <si>
    <r>
      <t>退</t>
    </r>
    <r>
      <rPr>
        <sz val="8"/>
        <rFont val="Times New Roman"/>
        <family val="1"/>
      </rPr>
      <t xml:space="preserve">           </t>
    </r>
    <r>
      <rPr>
        <sz val="8"/>
        <rFont val="標楷體"/>
        <family val="4"/>
      </rPr>
      <t>休</t>
    </r>
  </si>
  <si>
    <t>公營事業機構</t>
  </si>
  <si>
    <t>93年度</t>
  </si>
  <si>
    <r>
      <t>備註：</t>
    </r>
    <r>
      <rPr>
        <sz val="8"/>
        <rFont val="Times New Roman"/>
        <family val="1"/>
      </rPr>
      <t>1.</t>
    </r>
    <r>
      <rPr>
        <sz val="8"/>
        <rFont val="標楷體"/>
        <family val="4"/>
      </rPr>
      <t>本表為配合精算需要，所支付之退撫支出係以人次統計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例如：舊案支領月退休金人員於九十二年一月及七月各支領一次月退休金，在九十二年度之人次計算中，即累計支付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>人次</t>
    </r>
    <r>
      <rPr>
        <sz val="8"/>
        <rFont val="Times New Roman"/>
        <family val="1"/>
      </rPr>
      <t>)</t>
    </r>
    <r>
      <rPr>
        <sz val="8"/>
        <rFont val="標楷體"/>
        <family val="4"/>
      </rPr>
      <t>。</t>
    </r>
  </si>
  <si>
    <t>其他支出</t>
  </si>
  <si>
    <t>備註：政務人員因「政務人員退職撫卹條例」通過，已於九十三年一月一日起不再參加退撫基金。</t>
  </si>
  <si>
    <t xml:space="preserve"> </t>
  </si>
  <si>
    <t>94年度</t>
  </si>
  <si>
    <t>94年度</t>
  </si>
  <si>
    <t>93年度</t>
  </si>
  <si>
    <t>92年度</t>
  </si>
  <si>
    <t>權益調整數</t>
  </si>
  <si>
    <t>年度別</t>
  </si>
  <si>
    <r>
      <t xml:space="preserve">                                </t>
    </r>
    <r>
      <rPr>
        <sz val="8"/>
        <rFont val="標楷體"/>
        <family val="4"/>
      </rPr>
      <t>購買有價證券</t>
    </r>
  </si>
  <si>
    <t>其他短期投資</t>
  </si>
  <si>
    <t>委託經營</t>
  </si>
  <si>
    <t>其他資產</t>
  </si>
  <si>
    <t>定期儲蓄存款</t>
  </si>
  <si>
    <t>活期儲蓄存款</t>
  </si>
  <si>
    <t>外幣存款</t>
  </si>
  <si>
    <t>抵押債券</t>
  </si>
  <si>
    <t>信託財產</t>
  </si>
  <si>
    <t>國內</t>
  </si>
  <si>
    <t>國外</t>
  </si>
  <si>
    <t>91年度</t>
  </si>
  <si>
    <t>92年度</t>
  </si>
  <si>
    <t>93年度</t>
  </si>
  <si>
    <t>94年度</t>
  </si>
  <si>
    <t>單位：新臺幣千元；人次；%</t>
  </si>
  <si>
    <t xml:space="preserve"> </t>
  </si>
  <si>
    <t>年度別</t>
  </si>
  <si>
    <t xml:space="preserve"> 總   計</t>
  </si>
  <si>
    <r>
      <t>退</t>
    </r>
    <r>
      <rPr>
        <sz val="8"/>
        <rFont val="Times New Roman"/>
        <family val="1"/>
      </rPr>
      <t xml:space="preserve">           </t>
    </r>
    <r>
      <rPr>
        <sz val="8"/>
        <rFont val="標楷體"/>
        <family val="4"/>
      </rPr>
      <t>休</t>
    </r>
  </si>
  <si>
    <t>退              出</t>
  </si>
  <si>
    <t>因公傷病退休金</t>
  </si>
  <si>
    <t>兼 領</t>
  </si>
  <si>
    <t>合計</t>
  </si>
  <si>
    <t>離職退費</t>
  </si>
  <si>
    <t>未併計年資退費</t>
  </si>
  <si>
    <t>人次</t>
  </si>
  <si>
    <t>91年度</t>
  </si>
  <si>
    <t>92年度</t>
  </si>
  <si>
    <t>93年度</t>
  </si>
  <si>
    <t>94年度</t>
  </si>
  <si>
    <r>
      <t>備註：</t>
    </r>
    <r>
      <rPr>
        <sz val="8"/>
        <rFont val="Times New Roman"/>
        <family val="1"/>
      </rPr>
      <t>1.</t>
    </r>
    <r>
      <rPr>
        <sz val="8"/>
        <rFont val="標楷體"/>
        <family val="4"/>
      </rPr>
      <t>本表為配合精算需要，所支付之退撫支出係以人次統計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例如：舊案支領月退休金人員於九十二年一月及七月各支領一次月退休金，在九十二年度之人次計算中，即累計支付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>人次</t>
    </r>
    <r>
      <rPr>
        <sz val="8"/>
        <rFont val="Times New Roman"/>
        <family val="1"/>
      </rPr>
      <t>)</t>
    </r>
    <r>
      <rPr>
        <sz val="8"/>
        <rFont val="標楷體"/>
        <family val="4"/>
      </rPr>
      <t>。</t>
    </r>
  </si>
  <si>
    <r>
      <t xml:space="preserve">            3</t>
    </r>
    <r>
      <rPr>
        <sz val="8"/>
        <rFont val="標楷體"/>
        <family val="4"/>
      </rPr>
      <t>.政務、公務及教育人員係於每年一月十六日、七月十六日撥付月退休金、月撫慰金、及七月十六日撥付年撫卹金。</t>
    </r>
  </si>
  <si>
    <r>
      <t xml:space="preserve">            2</t>
    </r>
    <r>
      <rPr>
        <sz val="8"/>
        <rFont val="標楷體"/>
        <family val="4"/>
      </rPr>
      <t>.政務人員係於每年一月十六日、七月十六日撥付月退休金、月撫慰金、及七月十六日撥付年撫卹金。</t>
    </r>
  </si>
  <si>
    <r>
      <t xml:space="preserve">            3</t>
    </r>
    <r>
      <rPr>
        <sz val="8"/>
        <rFont val="標楷體"/>
        <family val="4"/>
      </rPr>
      <t>.本表各月之值係指截至當年度該月之累計值。</t>
    </r>
  </si>
  <si>
    <t>一次退休(伍)金</t>
  </si>
  <si>
    <r>
      <t xml:space="preserve">退                    </t>
    </r>
    <r>
      <rPr>
        <sz val="8"/>
        <rFont val="Times New Roman"/>
        <family val="1"/>
      </rPr>
      <t xml:space="preserve">                                                     </t>
    </r>
    <r>
      <rPr>
        <sz val="8"/>
        <rFont val="標楷體"/>
        <family val="4"/>
      </rPr>
      <t>休</t>
    </r>
  </si>
  <si>
    <t>95年度</t>
  </si>
  <si>
    <t>金融債券</t>
  </si>
  <si>
    <t>96年度</t>
  </si>
  <si>
    <t>97年度</t>
  </si>
  <si>
    <t>97年度</t>
  </si>
  <si>
    <t>國內</t>
  </si>
  <si>
    <t>國外</t>
  </si>
  <si>
    <t>97年度</t>
  </si>
  <si>
    <t>98年度</t>
  </si>
  <si>
    <t>備供出售之金融
資產評價損益</t>
  </si>
  <si>
    <t>未達法定收益</t>
  </si>
  <si>
    <t>待撥補數</t>
  </si>
  <si>
    <t>四.公務人員退休撫卹基金資產明細表</t>
  </si>
  <si>
    <t>五. 公務人員退休撫卹基金支出明細表</t>
  </si>
  <si>
    <t>五之二. 公務人員退休撫卹基金支出明細附表-公務人員</t>
  </si>
  <si>
    <t>五之三. 公務人員退休撫卹基金支出明細附表-教育人員</t>
  </si>
  <si>
    <t>五之四. 公務人員退休撫卹基金支出明細附表-軍職人員</t>
  </si>
  <si>
    <t>四.公務人員退休撫卹基金資產明細表(續)</t>
  </si>
  <si>
    <t>五. 公務人員退休撫卹基金支出明細表(續)</t>
  </si>
  <si>
    <t>五之二. 公務人員退休撫卹基金支出明細附表-公務人員(續)</t>
  </si>
  <si>
    <t>五之三. 公務人員退休撫卹基金支出明細附表-教育人員(續)</t>
  </si>
  <si>
    <t>五之四. 公務人員退休撫卹基金支出明細附表-軍職人員(續)</t>
  </si>
  <si>
    <t>99年度</t>
  </si>
  <si>
    <t>99年度</t>
  </si>
  <si>
    <r>
      <t xml:space="preserve">            2.</t>
    </r>
    <r>
      <rPr>
        <sz val="8"/>
        <rFont val="標楷體"/>
        <family val="4"/>
      </rPr>
      <t>軍職人員係於每年一月一日及七月一日撥付月退休俸、月撫慰金、因公傷病贍養金、一月一日撥付年撫卹金。</t>
    </r>
  </si>
  <si>
    <t>催收款項</t>
  </si>
  <si>
    <t>100年度</t>
  </si>
  <si>
    <t>100年1月</t>
  </si>
  <si>
    <t>100年度</t>
  </si>
  <si>
    <t>100年2月</t>
  </si>
  <si>
    <t>100年3月</t>
  </si>
  <si>
    <t>100年4月</t>
  </si>
  <si>
    <t>100年5月</t>
  </si>
  <si>
    <t>100年5月</t>
  </si>
  <si>
    <t>100年6月</t>
  </si>
  <si>
    <t>100年7月</t>
  </si>
  <si>
    <t>100年8月</t>
  </si>
  <si>
    <t>100年9月</t>
  </si>
  <si>
    <t>100年10月</t>
  </si>
  <si>
    <t>100年10月</t>
  </si>
  <si>
    <t>100年11月</t>
  </si>
  <si>
    <t>100年11月</t>
  </si>
  <si>
    <t>100年12月</t>
  </si>
  <si>
    <t>101年1月</t>
  </si>
  <si>
    <t>101年度</t>
  </si>
  <si>
    <t>101年度</t>
  </si>
  <si>
    <t>101年1月</t>
  </si>
  <si>
    <t>101年2月</t>
  </si>
  <si>
    <t>單位：新臺幣千元；%</t>
  </si>
  <si>
    <t xml:space="preserve">    單位：新臺幣千元；%</t>
  </si>
  <si>
    <t>101年3月</t>
  </si>
  <si>
    <t>101年4月</t>
  </si>
  <si>
    <t>101年5月</t>
  </si>
  <si>
    <t>101年6月</t>
  </si>
  <si>
    <r>
      <t>五之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一. 公務人員退休撫卹基金支出明細附表-政務人員</t>
    </r>
  </si>
  <si>
    <r>
      <t>五之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一. 公務人員退休撫卹基金支出明細附表-政務人員(續)</t>
    </r>
  </si>
  <si>
    <t>101年7月</t>
  </si>
  <si>
    <t>直轄市政府</t>
  </si>
  <si>
    <t>投資評價利益及
匯兌利益</t>
  </si>
  <si>
    <t>投資評價損失及
匯兌損失</t>
  </si>
  <si>
    <t>101年8月</t>
  </si>
  <si>
    <t>101年8月</t>
  </si>
  <si>
    <t>101年9月</t>
  </si>
  <si>
    <t>101年9月</t>
  </si>
  <si>
    <t xml:space="preserve"> </t>
  </si>
  <si>
    <t>101年10月</t>
  </si>
  <si>
    <t>(短絀)</t>
  </si>
  <si>
    <t>101年11月</t>
  </si>
  <si>
    <t>101年12月</t>
  </si>
  <si>
    <t>102年1月</t>
  </si>
  <si>
    <t>102年度</t>
  </si>
  <si>
    <t>102年度</t>
  </si>
  <si>
    <t>102年2月</t>
  </si>
  <si>
    <t>102年3月</t>
  </si>
  <si>
    <t xml:space="preserve">   </t>
  </si>
  <si>
    <t xml:space="preserve"> </t>
  </si>
  <si>
    <t>102年4月</t>
  </si>
  <si>
    <t>102年5月</t>
  </si>
  <si>
    <t>102年6月</t>
  </si>
  <si>
    <t>102年7月</t>
  </si>
  <si>
    <t>102年8月</t>
  </si>
  <si>
    <t>102年9月</t>
  </si>
  <si>
    <t>102年10月</t>
  </si>
  <si>
    <t>102年11月</t>
  </si>
  <si>
    <t>102年12月</t>
  </si>
  <si>
    <t>103年度</t>
  </si>
  <si>
    <t>103年1月</t>
  </si>
  <si>
    <t>103年1月</t>
  </si>
  <si>
    <t>103年2月</t>
  </si>
  <si>
    <t xml:space="preserve">check </t>
  </si>
  <si>
    <t>103年3月</t>
  </si>
  <si>
    <t>103年4月</t>
  </si>
  <si>
    <t>103年5月</t>
  </si>
  <si>
    <t>103年5月</t>
  </si>
  <si>
    <t>103年6月</t>
  </si>
  <si>
    <t>103年7月</t>
  </si>
  <si>
    <t>103年8月</t>
  </si>
  <si>
    <t>103年8月</t>
  </si>
  <si>
    <t>備註：1.於實際收到國庫撥補「未達法定收益待撥補數」時，同時減列「未達法定收益待撥補數」及增列「賸餘累計數」。</t>
  </si>
  <si>
    <t xml:space="preserve">      2.99年度未達法定收益待撥補數2,790,271千元，係當年度應撥補數2,957,271千元，減除已撥補數167,000千元。</t>
  </si>
  <si>
    <t>103年9月</t>
  </si>
  <si>
    <r>
      <t xml:space="preserve">            4</t>
    </r>
    <r>
      <rPr>
        <sz val="8"/>
        <rFont val="標楷體"/>
        <family val="4"/>
      </rPr>
      <t>.本表各月之值係指當年度該月之累計值。</t>
    </r>
  </si>
  <si>
    <t>103年10月</t>
  </si>
  <si>
    <t>103年11月</t>
  </si>
  <si>
    <t>公務人員</t>
  </si>
  <si>
    <r>
      <t>103</t>
    </r>
    <r>
      <rPr>
        <sz val="18"/>
        <rFont val="標楷體"/>
        <family val="4"/>
      </rPr>
      <t>年</t>
    </r>
    <r>
      <rPr>
        <sz val="18"/>
        <rFont val="Times New Roman"/>
        <family val="1"/>
      </rPr>
      <t>12</t>
    </r>
    <r>
      <rPr>
        <sz val="18"/>
        <rFont val="標楷體"/>
        <family val="4"/>
      </rPr>
      <t>月</t>
    </r>
  </si>
  <si>
    <r>
      <t>中華民國</t>
    </r>
    <r>
      <rPr>
        <sz val="12"/>
        <rFont val="Times New Roman"/>
        <family val="1"/>
      </rPr>
      <t>104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月出版</t>
    </r>
  </si>
  <si>
    <t>103年12月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</si>
</sst>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0.00_);[Red]\(0.00\)"/>
    <numFmt numFmtId="178" formatCode="#,##0.00_ "/>
    <numFmt numFmtId="179" formatCode="#,##0_ "/>
    <numFmt numFmtId="180" formatCode="#,##0.00;[Red]#,##0.00"/>
    <numFmt numFmtId="181" formatCode="0.00_ "/>
    <numFmt numFmtId="182" formatCode="0_ "/>
    <numFmt numFmtId="183" formatCode="#,##0_);[Red]\(#,##0\)"/>
    <numFmt numFmtId="184" formatCode="&quot;$&quot;#,##0"/>
    <numFmt numFmtId="185" formatCode="#,##0.0"/>
    <numFmt numFmtId="186" formatCode="#,##0.000"/>
    <numFmt numFmtId="187" formatCode="#,##0.0000"/>
    <numFmt numFmtId="188" formatCode="#,##0.0;\-#,##0.0"/>
    <numFmt numFmtId="189" formatCode="#,##0.0_ "/>
    <numFmt numFmtId="190" formatCode="#,##0.000_ "/>
    <numFmt numFmtId="191" formatCode="#,##0.000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#,##0_ ;[Red]\-#,##0\ "/>
  </numFmts>
  <fonts count="59">
    <font>
      <sz val="12"/>
      <name val="Times New Roman"/>
      <family val="1"/>
    </font>
    <font>
      <sz val="12"/>
      <color indexed="8"/>
      <name val="新細明體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華康楷書體W5"/>
      <family val="1"/>
    </font>
    <font>
      <sz val="10"/>
      <name val="Times New Roman"/>
      <family val="1"/>
    </font>
    <font>
      <sz val="11"/>
      <name val="華康楷書體W5"/>
      <family val="1"/>
    </font>
    <font>
      <sz val="10"/>
      <name val="華康楷書體W5"/>
      <family val="1"/>
    </font>
    <font>
      <sz val="12"/>
      <name val="標楷體"/>
      <family val="4"/>
    </font>
    <font>
      <sz val="18"/>
      <name val="華康楷書體W5"/>
      <family val="1"/>
    </font>
    <font>
      <sz val="8"/>
      <name val="華康楷書體W5"/>
      <family val="1"/>
    </font>
    <font>
      <sz val="8"/>
      <name val="Times New Roman"/>
      <family val="1"/>
    </font>
    <font>
      <sz val="18"/>
      <name val="Times New Roman"/>
      <family val="1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b/>
      <i/>
      <sz val="12"/>
      <name val="標楷體"/>
      <family val="4"/>
    </font>
    <font>
      <sz val="20"/>
      <name val="Times New Roman"/>
      <family val="1"/>
    </font>
    <font>
      <b/>
      <i/>
      <sz val="10"/>
      <name val="標楷體"/>
      <family val="4"/>
    </font>
    <font>
      <sz val="8"/>
      <name val="標楷體"/>
      <family val="4"/>
    </font>
    <font>
      <b/>
      <i/>
      <sz val="8"/>
      <name val="標楷體"/>
      <family val="4"/>
    </font>
    <font>
      <b/>
      <sz val="12"/>
      <name val="標楷體"/>
      <family val="4"/>
    </font>
    <font>
      <sz val="16"/>
      <name val="標楷體"/>
      <family val="4"/>
    </font>
    <font>
      <sz val="15"/>
      <name val="標楷體"/>
      <family val="4"/>
    </font>
    <font>
      <sz val="18"/>
      <name val="標楷體"/>
      <family val="4"/>
    </font>
    <font>
      <sz val="9"/>
      <name val="新細明體"/>
      <family val="1"/>
    </font>
    <font>
      <sz val="12"/>
      <name val="細明體"/>
      <family val="3"/>
    </font>
    <font>
      <sz val="8"/>
      <name val="細明體"/>
      <family val="3"/>
    </font>
    <font>
      <sz val="8"/>
      <color indexed="8"/>
      <name val="標楷體"/>
      <family val="4"/>
    </font>
    <font>
      <sz val="12"/>
      <color indexed="8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i/>
      <sz val="8"/>
      <color indexed="8"/>
      <name val="標楷體"/>
      <family val="4"/>
    </font>
    <font>
      <b/>
      <sz val="9"/>
      <name val="標楷體"/>
      <family val="4"/>
    </font>
    <font>
      <sz val="9"/>
      <name val="標楷體"/>
      <family val="4"/>
    </font>
    <font>
      <b/>
      <i/>
      <sz val="9"/>
      <name val="標楷體"/>
      <family val="4"/>
    </font>
    <font>
      <b/>
      <i/>
      <sz val="9"/>
      <color indexed="8"/>
      <name val="標楷體"/>
      <family val="4"/>
    </font>
    <font>
      <sz val="9"/>
      <color indexed="8"/>
      <name val="標楷體"/>
      <family val="4"/>
    </font>
    <font>
      <sz val="8"/>
      <color indexed="10"/>
      <name val="標楷體"/>
      <family val="4"/>
    </font>
    <font>
      <sz val="9"/>
      <color indexed="10"/>
      <name val="標楷體"/>
      <family val="4"/>
    </font>
    <font>
      <sz val="9"/>
      <color indexed="48"/>
      <name val="標楷體"/>
      <family val="4"/>
    </font>
    <font>
      <b/>
      <sz val="9"/>
      <name val="新細明體"/>
      <family val="1"/>
    </font>
    <font>
      <u val="single"/>
      <sz val="9"/>
      <name val="新細明體"/>
      <family val="1"/>
    </font>
    <font>
      <b/>
      <sz val="8"/>
      <name val="Times New Roman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thin"/>
      <right/>
      <top/>
      <bottom>
        <color indexed="63"/>
      </bottom>
    </border>
    <border>
      <left/>
      <right style="thin"/>
      <top>
        <color indexed="63"/>
      </top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4" fillId="6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8" borderId="0" applyNumberFormat="0" applyBorder="0" applyAlignment="0" applyProtection="0"/>
    <xf numFmtId="0" fontId="44" fillId="6" borderId="0" applyNumberFormat="0" applyBorder="0" applyAlignment="0" applyProtection="0"/>
    <xf numFmtId="0" fontId="44" fillId="3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43" fillId="0" borderId="1" applyNumberFormat="0" applyFill="0" applyAlignment="0" applyProtection="0"/>
    <xf numFmtId="0" fontId="34" fillId="6" borderId="0" applyNumberFormat="0" applyBorder="0" applyAlignment="0" applyProtection="0"/>
    <xf numFmtId="9" fontId="0" fillId="0" borderId="0" applyFont="0" applyFill="0" applyBorder="0" applyAlignment="0" applyProtection="0"/>
    <xf numFmtId="0" fontId="39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4" borderId="4" applyNumberFormat="0" applyFont="0" applyAlignment="0" applyProtection="0"/>
    <xf numFmtId="0" fontId="4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7" fillId="7" borderId="2" applyNumberFormat="0" applyAlignment="0" applyProtection="0"/>
    <xf numFmtId="0" fontId="38" fillId="11" borderId="8" applyNumberFormat="0" applyAlignment="0" applyProtection="0"/>
    <xf numFmtId="0" fontId="41" fillId="16" borderId="9" applyNumberFormat="0" applyAlignment="0" applyProtection="0"/>
    <xf numFmtId="0" fontId="35" fillId="17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47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34">
      <alignment/>
      <protection/>
    </xf>
    <xf numFmtId="0" fontId="4" fillId="0" borderId="0" xfId="34" applyFont="1">
      <alignment/>
      <protection/>
    </xf>
    <xf numFmtId="0" fontId="0" fillId="0" borderId="0" xfId="34" applyFont="1">
      <alignment/>
      <protection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/>
    </xf>
    <xf numFmtId="3" fontId="8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34" applyFont="1">
      <alignment/>
      <protection/>
    </xf>
    <xf numFmtId="0" fontId="8" fillId="0" borderId="0" xfId="34" applyFont="1" applyBorder="1" applyAlignment="1">
      <alignment horizontal="center" vertical="center"/>
      <protection/>
    </xf>
    <xf numFmtId="3" fontId="8" fillId="0" borderId="0" xfId="34" applyNumberFormat="1" applyFont="1" applyBorder="1" applyAlignment="1">
      <alignment horizontal="right"/>
      <protection/>
    </xf>
    <xf numFmtId="3" fontId="8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15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5" fillId="0" borderId="0" xfId="0" applyFont="1" applyBorder="1" applyAlignment="1">
      <alignment horizontal="right"/>
    </xf>
    <xf numFmtId="37" fontId="18" fillId="0" borderId="11" xfId="0" applyNumberFormat="1" applyFont="1" applyBorder="1" applyAlignment="1">
      <alignment horizontal="right"/>
    </xf>
    <xf numFmtId="37" fontId="15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19" fillId="0" borderId="0" xfId="0" applyFont="1" applyAlignment="1">
      <alignment/>
    </xf>
    <xf numFmtId="0" fontId="11" fillId="0" borderId="0" xfId="0" applyFont="1" applyAlignment="1">
      <alignment/>
    </xf>
    <xf numFmtId="0" fontId="19" fillId="0" borderId="12" xfId="0" applyFont="1" applyBorder="1" applyAlignment="1">
      <alignment horizontal="centerContinuous"/>
    </xf>
    <xf numFmtId="41" fontId="20" fillId="0" borderId="13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176" fontId="20" fillId="0" borderId="11" xfId="0" applyNumberFormat="1" applyFont="1" applyBorder="1" applyAlignment="1">
      <alignment/>
    </xf>
    <xf numFmtId="0" fontId="19" fillId="0" borderId="0" xfId="34" applyFont="1" applyBorder="1">
      <alignment/>
      <protection/>
    </xf>
    <xf numFmtId="0" fontId="19" fillId="0" borderId="0" xfId="34" applyFont="1" applyAlignment="1">
      <alignment horizontal="left"/>
      <protection/>
    </xf>
    <xf numFmtId="0" fontId="19" fillId="0" borderId="0" xfId="34" applyFont="1">
      <alignment/>
      <protection/>
    </xf>
    <xf numFmtId="0" fontId="19" fillId="0" borderId="14" xfId="34" applyFont="1" applyBorder="1">
      <alignment/>
      <protection/>
    </xf>
    <xf numFmtId="0" fontId="19" fillId="0" borderId="11" xfId="34" applyFont="1" applyBorder="1" applyAlignment="1">
      <alignment horizontal="center" vertical="center"/>
      <protection/>
    </xf>
    <xf numFmtId="0" fontId="19" fillId="0" borderId="15" xfId="34" applyFont="1" applyBorder="1" applyAlignment="1">
      <alignment horizontal="center" vertical="center"/>
      <protection/>
    </xf>
    <xf numFmtId="0" fontId="19" fillId="0" borderId="16" xfId="34" applyFont="1" applyBorder="1" applyAlignment="1">
      <alignment horizontal="centerContinuous" vertical="center"/>
      <protection/>
    </xf>
    <xf numFmtId="0" fontId="19" fillId="0" borderId="12" xfId="34" applyFont="1" applyBorder="1" applyAlignment="1">
      <alignment horizontal="centerContinuous" vertical="center"/>
      <protection/>
    </xf>
    <xf numFmtId="0" fontId="19" fillId="0" borderId="17" xfId="34" applyFont="1" applyBorder="1" applyAlignment="1">
      <alignment horizontal="centerContinuous" vertical="center"/>
      <protection/>
    </xf>
    <xf numFmtId="0" fontId="19" fillId="0" borderId="10" xfId="34" applyFont="1" applyBorder="1" applyAlignment="1">
      <alignment horizontal="centerContinuous" vertical="center"/>
      <protection/>
    </xf>
    <xf numFmtId="0" fontId="19" fillId="0" borderId="18" xfId="34" applyFont="1" applyBorder="1" applyAlignment="1">
      <alignment horizontal="center" vertical="center"/>
      <protection/>
    </xf>
    <xf numFmtId="0" fontId="19" fillId="0" borderId="18" xfId="34" applyFont="1" applyBorder="1" applyAlignment="1">
      <alignment horizontal="centerContinuous" vertical="center"/>
      <protection/>
    </xf>
    <xf numFmtId="0" fontId="19" fillId="0" borderId="0" xfId="34" applyFont="1" applyBorder="1" applyAlignment="1">
      <alignment horizontal="center" vertical="center"/>
      <protection/>
    </xf>
    <xf numFmtId="3" fontId="19" fillId="0" borderId="0" xfId="34" applyNumberFormat="1" applyFont="1" applyBorder="1" applyAlignment="1">
      <alignment horizontal="right"/>
      <protection/>
    </xf>
    <xf numFmtId="0" fontId="11" fillId="0" borderId="0" xfId="34" applyFont="1">
      <alignment/>
      <protection/>
    </xf>
    <xf numFmtId="0" fontId="19" fillId="0" borderId="0" xfId="34" applyFont="1">
      <alignment/>
      <protection/>
    </xf>
    <xf numFmtId="0" fontId="21" fillId="0" borderId="0" xfId="0" applyFont="1" applyBorder="1" applyAlignment="1">
      <alignment/>
    </xf>
    <xf numFmtId="0" fontId="11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34" applyFont="1" applyAlignment="1">
      <alignment horizontal="right"/>
      <protection/>
    </xf>
    <xf numFmtId="0" fontId="17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19" fillId="0" borderId="10" xfId="34" applyNumberFormat="1" applyFont="1" applyBorder="1" applyAlignment="1">
      <alignment horizontal="right"/>
      <protection/>
    </xf>
    <xf numFmtId="4" fontId="8" fillId="0" borderId="0" xfId="34" applyNumberFormat="1" applyFont="1" applyBorder="1" applyAlignment="1">
      <alignment horizontal="right"/>
      <protection/>
    </xf>
    <xf numFmtId="3" fontId="20" fillId="0" borderId="11" xfId="34" applyNumberFormat="1" applyFont="1" applyBorder="1" applyAlignment="1">
      <alignment horizontal="right"/>
      <protection/>
    </xf>
    <xf numFmtId="3" fontId="20" fillId="0" borderId="13" xfId="34" applyNumberFormat="1" applyFont="1" applyBorder="1" applyAlignment="1">
      <alignment horizontal="right"/>
      <protection/>
    </xf>
    <xf numFmtId="0" fontId="8" fillId="0" borderId="0" xfId="0" applyFont="1" applyAlignment="1">
      <alignment horizontal="right"/>
    </xf>
    <xf numFmtId="3" fontId="16" fillId="0" borderId="11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37" fontId="18" fillId="0" borderId="11" xfId="0" applyNumberFormat="1" applyFont="1" applyBorder="1" applyAlignment="1">
      <alignment horizontal="left"/>
    </xf>
    <xf numFmtId="178" fontId="19" fillId="0" borderId="10" xfId="0" applyNumberFormat="1" applyFont="1" applyBorder="1" applyAlignment="1">
      <alignment horizontal="right"/>
    </xf>
    <xf numFmtId="4" fontId="15" fillId="0" borderId="10" xfId="0" applyNumberFormat="1" applyFont="1" applyBorder="1" applyAlignment="1">
      <alignment horizontal="right"/>
    </xf>
    <xf numFmtId="37" fontId="16" fillId="0" borderId="11" xfId="0" applyNumberFormat="1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43" fontId="15" fillId="0" borderId="10" xfId="0" applyNumberFormat="1" applyFont="1" applyBorder="1" applyAlignment="1">
      <alignment horizontal="center"/>
    </xf>
    <xf numFmtId="3" fontId="18" fillId="0" borderId="11" xfId="34" applyNumberFormat="1" applyFont="1" applyBorder="1" applyAlignment="1">
      <alignment horizontal="left"/>
      <protection/>
    </xf>
    <xf numFmtId="0" fontId="11" fillId="0" borderId="0" xfId="34" applyFont="1">
      <alignment/>
      <protection/>
    </xf>
    <xf numFmtId="0" fontId="19" fillId="0" borderId="0" xfId="34" applyFont="1" applyBorder="1" applyAlignment="1">
      <alignment horizontal="left" vertical="center"/>
      <protection/>
    </xf>
    <xf numFmtId="0" fontId="11" fillId="0" borderId="0" xfId="34" applyFont="1" applyBorder="1" applyAlignment="1">
      <alignment horizontal="left" vertical="center"/>
      <protection/>
    </xf>
    <xf numFmtId="0" fontId="19" fillId="0" borderId="0" xfId="34" applyFont="1" applyAlignment="1">
      <alignment horizontal="center"/>
      <protection/>
    </xf>
    <xf numFmtId="4" fontId="19" fillId="0" borderId="10" xfId="0" applyNumberFormat="1" applyFont="1" applyBorder="1" applyAlignment="1">
      <alignment horizontal="right"/>
    </xf>
    <xf numFmtId="3" fontId="20" fillId="0" borderId="11" xfId="0" applyNumberFormat="1" applyFont="1" applyBorder="1" applyAlignment="1">
      <alignment horizontal="right"/>
    </xf>
    <xf numFmtId="176" fontId="18" fillId="0" borderId="11" xfId="0" applyNumberFormat="1" applyFont="1" applyBorder="1" applyAlignment="1">
      <alignment horizontal="right"/>
    </xf>
    <xf numFmtId="0" fontId="19" fillId="0" borderId="10" xfId="33" applyFont="1" applyBorder="1" applyAlignment="1">
      <alignment horizontal="center" vertical="center"/>
      <protection/>
    </xf>
    <xf numFmtId="0" fontId="19" fillId="0" borderId="1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Continuous" vertical="center"/>
    </xf>
    <xf numFmtId="0" fontId="19" fillId="0" borderId="17" xfId="0" applyFont="1" applyBorder="1" applyAlignment="1">
      <alignment horizontal="centerContinuous" vertical="center"/>
    </xf>
    <xf numFmtId="0" fontId="19" fillId="0" borderId="12" xfId="0" applyFont="1" applyBorder="1" applyAlignment="1">
      <alignment horizontal="centerContinuous" vertical="center"/>
    </xf>
    <xf numFmtId="0" fontId="19" fillId="0" borderId="0" xfId="35" applyFont="1" applyBorder="1">
      <alignment/>
      <protection/>
    </xf>
    <xf numFmtId="0" fontId="19" fillId="0" borderId="0" xfId="35" applyFont="1" applyAlignment="1">
      <alignment horizontal="left"/>
      <protection/>
    </xf>
    <xf numFmtId="0" fontId="19" fillId="0" borderId="0" xfId="35" applyFont="1">
      <alignment/>
      <protection/>
    </xf>
    <xf numFmtId="0" fontId="8" fillId="0" borderId="0" xfId="35" applyFont="1">
      <alignment/>
      <protection/>
    </xf>
    <xf numFmtId="0" fontId="8" fillId="0" borderId="0" xfId="35">
      <alignment/>
      <protection/>
    </xf>
    <xf numFmtId="0" fontId="4" fillId="0" borderId="0" xfId="35" applyFont="1">
      <alignment/>
      <protection/>
    </xf>
    <xf numFmtId="0" fontId="19" fillId="0" borderId="0" xfId="35" applyFont="1" applyAlignment="1">
      <alignment horizontal="right"/>
      <protection/>
    </xf>
    <xf numFmtId="0" fontId="11" fillId="0" borderId="0" xfId="35" applyFont="1">
      <alignment/>
      <protection/>
    </xf>
    <xf numFmtId="0" fontId="19" fillId="0" borderId="14" xfId="35" applyFont="1" applyBorder="1">
      <alignment/>
      <protection/>
    </xf>
    <xf numFmtId="0" fontId="19" fillId="0" borderId="11" xfId="35" applyFont="1" applyBorder="1" applyAlignment="1">
      <alignment horizontal="center" vertical="center"/>
      <protection/>
    </xf>
    <xf numFmtId="0" fontId="19" fillId="0" borderId="16" xfId="35" applyFont="1" applyBorder="1" applyAlignment="1">
      <alignment horizontal="centerContinuous" vertical="center"/>
      <protection/>
    </xf>
    <xf numFmtId="0" fontId="19" fillId="0" borderId="12" xfId="35" applyFont="1" applyBorder="1" applyAlignment="1">
      <alignment horizontal="centerContinuous" vertical="center"/>
      <protection/>
    </xf>
    <xf numFmtId="0" fontId="19" fillId="0" borderId="17" xfId="35" applyFont="1" applyBorder="1" applyAlignment="1">
      <alignment horizontal="centerContinuous" vertical="center"/>
      <protection/>
    </xf>
    <xf numFmtId="0" fontId="19" fillId="0" borderId="10" xfId="35" applyFont="1" applyBorder="1" applyAlignment="1">
      <alignment horizontal="centerContinuous" vertical="center"/>
      <protection/>
    </xf>
    <xf numFmtId="0" fontId="8" fillId="0" borderId="0" xfId="35" applyFont="1" applyBorder="1" applyAlignment="1">
      <alignment horizontal="center" vertical="center"/>
      <protection/>
    </xf>
    <xf numFmtId="0" fontId="19" fillId="0" borderId="18" xfId="35" applyFont="1" applyBorder="1" applyAlignment="1">
      <alignment horizontal="center" vertical="center"/>
      <protection/>
    </xf>
    <xf numFmtId="0" fontId="19" fillId="0" borderId="15" xfId="35" applyFont="1" applyBorder="1" applyAlignment="1">
      <alignment horizontal="center" vertical="center"/>
      <protection/>
    </xf>
    <xf numFmtId="0" fontId="19" fillId="0" borderId="18" xfId="35" applyFont="1" applyBorder="1" applyAlignment="1">
      <alignment horizontal="centerContinuous" vertical="center"/>
      <protection/>
    </xf>
    <xf numFmtId="3" fontId="18" fillId="0" borderId="11" xfId="35" applyNumberFormat="1" applyFont="1" applyBorder="1" applyAlignment="1">
      <alignment horizontal="left"/>
      <protection/>
    </xf>
    <xf numFmtId="3" fontId="20" fillId="0" borderId="11" xfId="35" applyNumberFormat="1" applyFont="1" applyBorder="1" applyAlignment="1">
      <alignment horizontal="right"/>
      <protection/>
    </xf>
    <xf numFmtId="3" fontId="8" fillId="0" borderId="0" xfId="35" applyNumberFormat="1" applyFont="1" applyBorder="1" applyAlignment="1">
      <alignment horizontal="right"/>
      <protection/>
    </xf>
    <xf numFmtId="3" fontId="20" fillId="0" borderId="13" xfId="35" applyNumberFormat="1" applyFont="1" applyBorder="1" applyAlignment="1">
      <alignment horizontal="right"/>
      <protection/>
    </xf>
    <xf numFmtId="0" fontId="19" fillId="0" borderId="0" xfId="35" applyFont="1" applyBorder="1" applyAlignment="1">
      <alignment horizontal="left" vertical="center"/>
      <protection/>
    </xf>
    <xf numFmtId="0" fontId="19" fillId="0" borderId="0" xfId="35" applyFont="1" applyBorder="1" applyAlignment="1">
      <alignment horizontal="center" vertical="center"/>
      <protection/>
    </xf>
    <xf numFmtId="3" fontId="19" fillId="0" borderId="0" xfId="35" applyNumberFormat="1" applyFont="1" applyBorder="1" applyAlignment="1">
      <alignment horizontal="right"/>
      <protection/>
    </xf>
    <xf numFmtId="0" fontId="11" fillId="0" borderId="0" xfId="35" applyFont="1" applyBorder="1" applyAlignment="1">
      <alignment horizontal="left" vertical="center"/>
      <protection/>
    </xf>
    <xf numFmtId="0" fontId="19" fillId="0" borderId="0" xfId="35" applyFont="1" applyAlignment="1">
      <alignment horizontal="center"/>
      <protection/>
    </xf>
    <xf numFmtId="0" fontId="0" fillId="0" borderId="0" xfId="35" applyFont="1">
      <alignment/>
      <protection/>
    </xf>
    <xf numFmtId="0" fontId="19" fillId="0" borderId="0" xfId="34" applyFont="1" applyBorder="1" applyAlignment="1">
      <alignment vertical="center"/>
      <protection/>
    </xf>
    <xf numFmtId="0" fontId="11" fillId="0" borderId="0" xfId="34" applyFont="1" applyBorder="1" applyAlignment="1">
      <alignment horizontal="center" vertical="center"/>
      <protection/>
    </xf>
    <xf numFmtId="178" fontId="0" fillId="0" borderId="0" xfId="0" applyNumberFormat="1" applyFont="1" applyAlignment="1">
      <alignment horizontal="right"/>
    </xf>
    <xf numFmtId="3" fontId="8" fillId="0" borderId="19" xfId="35" applyNumberFormat="1" applyFont="1" applyBorder="1" applyAlignment="1">
      <alignment horizontal="right"/>
      <protection/>
    </xf>
    <xf numFmtId="0" fontId="8" fillId="0" borderId="0" xfId="35" applyBorder="1">
      <alignment/>
      <protection/>
    </xf>
    <xf numFmtId="37" fontId="20" fillId="0" borderId="11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0" fontId="19" fillId="0" borderId="0" xfId="36" applyFont="1" applyBorder="1">
      <alignment/>
      <protection/>
    </xf>
    <xf numFmtId="0" fontId="19" fillId="0" borderId="0" xfId="36" applyFont="1" applyAlignment="1">
      <alignment horizontal="left"/>
      <protection/>
    </xf>
    <xf numFmtId="0" fontId="19" fillId="0" borderId="0" xfId="36" applyFont="1">
      <alignment/>
      <protection/>
    </xf>
    <xf numFmtId="0" fontId="8" fillId="0" borderId="0" xfId="36" applyFont="1">
      <alignment/>
      <protection/>
    </xf>
    <xf numFmtId="0" fontId="8" fillId="0" borderId="0" xfId="36">
      <alignment/>
      <protection/>
    </xf>
    <xf numFmtId="0" fontId="4" fillId="0" borderId="0" xfId="36" applyFont="1">
      <alignment/>
      <protection/>
    </xf>
    <xf numFmtId="0" fontId="19" fillId="0" borderId="0" xfId="36" applyFont="1" applyAlignment="1">
      <alignment horizontal="right"/>
      <protection/>
    </xf>
    <xf numFmtId="0" fontId="11" fillId="0" borderId="0" xfId="36" applyFont="1">
      <alignment/>
      <protection/>
    </xf>
    <xf numFmtId="0" fontId="19" fillId="0" borderId="16" xfId="36" applyFont="1" applyBorder="1" applyAlignment="1">
      <alignment horizontal="centerContinuous" vertical="center"/>
      <protection/>
    </xf>
    <xf numFmtId="0" fontId="19" fillId="0" borderId="12" xfId="36" applyFont="1" applyBorder="1" applyAlignment="1">
      <alignment horizontal="centerContinuous" vertical="center"/>
      <protection/>
    </xf>
    <xf numFmtId="0" fontId="19" fillId="0" borderId="17" xfId="36" applyFont="1" applyBorder="1" applyAlignment="1">
      <alignment horizontal="centerContinuous" vertical="center"/>
      <protection/>
    </xf>
    <xf numFmtId="0" fontId="19" fillId="0" borderId="10" xfId="36" applyFont="1" applyBorder="1" applyAlignment="1">
      <alignment horizontal="centerContinuous" vertical="center"/>
      <protection/>
    </xf>
    <xf numFmtId="0" fontId="8" fillId="0" borderId="0" xfId="36" applyFont="1" applyBorder="1" applyAlignment="1">
      <alignment horizontal="center" vertical="center"/>
      <protection/>
    </xf>
    <xf numFmtId="0" fontId="19" fillId="0" borderId="18" xfId="36" applyFont="1" applyBorder="1" applyAlignment="1">
      <alignment horizontal="center" vertical="center"/>
      <protection/>
    </xf>
    <xf numFmtId="0" fontId="19" fillId="0" borderId="15" xfId="36" applyFont="1" applyBorder="1" applyAlignment="1">
      <alignment horizontal="center" vertical="center"/>
      <protection/>
    </xf>
    <xf numFmtId="0" fontId="19" fillId="0" borderId="18" xfId="36" applyFont="1" applyBorder="1" applyAlignment="1">
      <alignment horizontal="centerContinuous" vertical="center"/>
      <protection/>
    </xf>
    <xf numFmtId="3" fontId="18" fillId="0" borderId="11" xfId="36" applyNumberFormat="1" applyFont="1" applyBorder="1" applyAlignment="1">
      <alignment horizontal="left"/>
      <protection/>
    </xf>
    <xf numFmtId="3" fontId="20" fillId="0" borderId="11" xfId="36" applyNumberFormat="1" applyFont="1" applyBorder="1" applyAlignment="1">
      <alignment horizontal="right"/>
      <protection/>
    </xf>
    <xf numFmtId="3" fontId="8" fillId="0" borderId="0" xfId="36" applyNumberFormat="1" applyFont="1" applyBorder="1" applyAlignment="1">
      <alignment horizontal="right"/>
      <protection/>
    </xf>
    <xf numFmtId="3" fontId="20" fillId="0" borderId="13" xfId="36" applyNumberFormat="1" applyFont="1" applyBorder="1" applyAlignment="1">
      <alignment horizontal="right"/>
      <protection/>
    </xf>
    <xf numFmtId="4" fontId="19" fillId="0" borderId="10" xfId="0" applyNumberFormat="1" applyFont="1" applyBorder="1" applyAlignment="1">
      <alignment horizontal="center"/>
    </xf>
    <xf numFmtId="4" fontId="19" fillId="0" borderId="10" xfId="36" applyNumberFormat="1" applyFont="1" applyBorder="1" applyAlignment="1">
      <alignment horizontal="right"/>
      <protection/>
    </xf>
    <xf numFmtId="0" fontId="19" fillId="0" borderId="0" xfId="36" applyFont="1" applyBorder="1" applyAlignment="1">
      <alignment horizontal="left" vertical="center"/>
      <protection/>
    </xf>
    <xf numFmtId="0" fontId="19" fillId="0" borderId="0" xfId="36" applyFont="1" applyBorder="1" applyAlignment="1">
      <alignment horizontal="center" vertical="center"/>
      <protection/>
    </xf>
    <xf numFmtId="3" fontId="19" fillId="0" borderId="0" xfId="36" applyNumberFormat="1" applyFont="1" applyBorder="1" applyAlignment="1">
      <alignment horizontal="right"/>
      <protection/>
    </xf>
    <xf numFmtId="0" fontId="11" fillId="0" borderId="0" xfId="36" applyFont="1" applyBorder="1" applyAlignment="1">
      <alignment horizontal="left" vertical="center"/>
      <protection/>
    </xf>
    <xf numFmtId="0" fontId="19" fillId="0" borderId="0" xfId="36" applyFont="1" applyAlignment="1">
      <alignment horizontal="center"/>
      <protection/>
    </xf>
    <xf numFmtId="0" fontId="0" fillId="0" borderId="0" xfId="36" applyFont="1">
      <alignment/>
      <protection/>
    </xf>
    <xf numFmtId="0" fontId="0" fillId="0" borderId="0" xfId="0" applyFont="1" applyBorder="1" applyAlignment="1">
      <alignment/>
    </xf>
    <xf numFmtId="0" fontId="18" fillId="0" borderId="11" xfId="0" applyFont="1" applyFill="1" applyBorder="1" applyAlignment="1">
      <alignment horizontal="left"/>
    </xf>
    <xf numFmtId="177" fontId="15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41" fontId="18" fillId="0" borderId="11" xfId="0" applyNumberFormat="1" applyFont="1" applyBorder="1" applyAlignment="1">
      <alignment horizontal="right"/>
    </xf>
    <xf numFmtId="37" fontId="18" fillId="0" borderId="0" xfId="0" applyNumberFormat="1" applyFont="1" applyBorder="1" applyAlignment="1">
      <alignment horizontal="right"/>
    </xf>
    <xf numFmtId="37" fontId="18" fillId="0" borderId="19" xfId="0" applyNumberFormat="1" applyFont="1" applyBorder="1" applyAlignment="1">
      <alignment horizontal="right"/>
    </xf>
    <xf numFmtId="176" fontId="20" fillId="0" borderId="11" xfId="0" applyNumberFormat="1" applyFont="1" applyBorder="1" applyAlignment="1">
      <alignment horizontal="right"/>
    </xf>
    <xf numFmtId="37" fontId="20" fillId="0" borderId="13" xfId="0" applyNumberFormat="1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3" fontId="11" fillId="0" borderId="0" xfId="34" applyNumberFormat="1" applyFont="1" applyBorder="1" applyAlignment="1">
      <alignment horizontal="right"/>
      <protection/>
    </xf>
    <xf numFmtId="3" fontId="20" fillId="0" borderId="11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0" fontId="11" fillId="0" borderId="20" xfId="0" applyFont="1" applyBorder="1" applyAlignment="1">
      <alignment/>
    </xf>
    <xf numFmtId="3" fontId="19" fillId="0" borderId="0" xfId="0" applyNumberFormat="1" applyFont="1" applyBorder="1" applyAlignment="1">
      <alignment horizontal="right"/>
    </xf>
    <xf numFmtId="0" fontId="19" fillId="0" borderId="14" xfId="33" applyFont="1" applyBorder="1" applyAlignment="1">
      <alignment horizontal="center" vertical="center"/>
      <protection/>
    </xf>
    <xf numFmtId="41" fontId="19" fillId="0" borderId="0" xfId="35" applyNumberFormat="1" applyFont="1" applyBorder="1" applyAlignment="1">
      <alignment horizontal="right"/>
      <protection/>
    </xf>
    <xf numFmtId="41" fontId="19" fillId="0" borderId="0" xfId="35" applyNumberFormat="1" applyFont="1" applyBorder="1">
      <alignment/>
      <protection/>
    </xf>
    <xf numFmtId="4" fontId="8" fillId="0" borderId="0" xfId="34" applyNumberFormat="1" applyFont="1">
      <alignment/>
      <protection/>
    </xf>
    <xf numFmtId="3" fontId="8" fillId="0" borderId="21" xfId="0" applyNumberFormat="1" applyFont="1" applyBorder="1" applyAlignment="1">
      <alignment horizontal="right"/>
    </xf>
    <xf numFmtId="37" fontId="15" fillId="0" borderId="21" xfId="0" applyNumberFormat="1" applyFont="1" applyBorder="1" applyAlignment="1">
      <alignment horizontal="right"/>
    </xf>
    <xf numFmtId="41" fontId="15" fillId="0" borderId="21" xfId="0" applyNumberFormat="1" applyFont="1" applyBorder="1" applyAlignment="1">
      <alignment horizontal="right"/>
    </xf>
    <xf numFmtId="176" fontId="19" fillId="0" borderId="21" xfId="0" applyNumberFormat="1" applyFont="1" applyBorder="1" applyAlignment="1">
      <alignment horizontal="right"/>
    </xf>
    <xf numFmtId="41" fontId="28" fillId="0" borderId="21" xfId="0" applyNumberFormat="1" applyFont="1" applyFill="1" applyBorder="1" applyAlignment="1">
      <alignment horizontal="right"/>
    </xf>
    <xf numFmtId="3" fontId="19" fillId="0" borderId="21" xfId="0" applyNumberFormat="1" applyFont="1" applyBorder="1" applyAlignment="1">
      <alignment horizontal="right"/>
    </xf>
    <xf numFmtId="3" fontId="19" fillId="0" borderId="21" xfId="0" applyNumberFormat="1" applyFont="1" applyBorder="1" applyAlignment="1">
      <alignment/>
    </xf>
    <xf numFmtId="37" fontId="19" fillId="0" borderId="21" xfId="33" applyNumberFormat="1" applyFont="1" applyBorder="1" applyAlignment="1">
      <alignment horizontal="right"/>
      <protection/>
    </xf>
    <xf numFmtId="3" fontId="19" fillId="0" borderId="21" xfId="36" applyNumberFormat="1" applyFont="1" applyBorder="1" applyAlignment="1">
      <alignment horizontal="right"/>
      <protection/>
    </xf>
    <xf numFmtId="3" fontId="19" fillId="0" borderId="22" xfId="36" applyNumberFormat="1" applyFont="1" applyBorder="1" applyAlignment="1">
      <alignment horizontal="right"/>
      <protection/>
    </xf>
    <xf numFmtId="41" fontId="19" fillId="0" borderId="21" xfId="35" applyNumberFormat="1" applyFont="1" applyBorder="1" applyAlignment="1">
      <alignment horizontal="right"/>
      <protection/>
    </xf>
    <xf numFmtId="41" fontId="19" fillId="0" borderId="21" xfId="0" applyNumberFormat="1" applyFont="1" applyBorder="1" applyAlignment="1">
      <alignment/>
    </xf>
    <xf numFmtId="3" fontId="19" fillId="0" borderId="21" xfId="34" applyNumberFormat="1" applyFont="1" applyBorder="1" applyAlignment="1">
      <alignment horizontal="right"/>
      <protection/>
    </xf>
    <xf numFmtId="3" fontId="19" fillId="0" borderId="22" xfId="34" applyNumberFormat="1" applyFont="1" applyBorder="1" applyAlignment="1">
      <alignment horizontal="right"/>
      <protection/>
    </xf>
    <xf numFmtId="176" fontId="19" fillId="0" borderId="21" xfId="0" applyNumberFormat="1" applyFont="1" applyBorder="1" applyAlignment="1">
      <alignment/>
    </xf>
    <xf numFmtId="4" fontId="29" fillId="0" borderId="23" xfId="0" applyNumberFormat="1" applyFont="1" applyBorder="1" applyAlignment="1">
      <alignment horizontal="right"/>
    </xf>
    <xf numFmtId="37" fontId="15" fillId="0" borderId="24" xfId="0" applyNumberFormat="1" applyFont="1" applyBorder="1" applyAlignment="1">
      <alignment horizontal="right"/>
    </xf>
    <xf numFmtId="4" fontId="15" fillId="11" borderId="10" xfId="0" applyNumberFormat="1" applyFont="1" applyFill="1" applyBorder="1" applyAlignment="1">
      <alignment horizontal="right"/>
    </xf>
    <xf numFmtId="37" fontId="18" fillId="0" borderId="21" xfId="0" applyNumberFormat="1" applyFont="1" applyBorder="1" applyAlignment="1">
      <alignment horizontal="right"/>
    </xf>
    <xf numFmtId="41" fontId="18" fillId="0" borderId="21" xfId="0" applyNumberFormat="1" applyFont="1" applyBorder="1" applyAlignment="1">
      <alignment horizontal="right"/>
    </xf>
    <xf numFmtId="37" fontId="18" fillId="0" borderId="24" xfId="0" applyNumberFormat="1" applyFont="1" applyBorder="1" applyAlignment="1">
      <alignment horizontal="right"/>
    </xf>
    <xf numFmtId="176" fontId="20" fillId="0" borderId="21" xfId="0" applyNumberFormat="1" applyFont="1" applyBorder="1" applyAlignment="1">
      <alignment horizontal="right"/>
    </xf>
    <xf numFmtId="3" fontId="20" fillId="0" borderId="21" xfId="36" applyNumberFormat="1" applyFont="1" applyBorder="1" applyAlignment="1">
      <alignment horizontal="right"/>
      <protection/>
    </xf>
    <xf numFmtId="3" fontId="20" fillId="0" borderId="22" xfId="36" applyNumberFormat="1" applyFont="1" applyBorder="1" applyAlignment="1">
      <alignment horizontal="right"/>
      <protection/>
    </xf>
    <xf numFmtId="3" fontId="20" fillId="0" borderId="21" xfId="34" applyNumberFormat="1" applyFont="1" applyBorder="1" applyAlignment="1">
      <alignment horizontal="right"/>
      <protection/>
    </xf>
    <xf numFmtId="3" fontId="20" fillId="0" borderId="22" xfId="34" applyNumberFormat="1" applyFont="1" applyBorder="1" applyAlignment="1">
      <alignment horizontal="right"/>
      <protection/>
    </xf>
    <xf numFmtId="176" fontId="20" fillId="0" borderId="21" xfId="0" applyNumberFormat="1" applyFont="1" applyBorder="1" applyAlignment="1">
      <alignment/>
    </xf>
    <xf numFmtId="3" fontId="47" fillId="0" borderId="11" xfId="0" applyNumberFormat="1" applyFont="1" applyBorder="1" applyAlignment="1">
      <alignment horizontal="right"/>
    </xf>
    <xf numFmtId="3" fontId="47" fillId="0" borderId="11" xfId="0" applyNumberFormat="1" applyFont="1" applyBorder="1" applyAlignment="1">
      <alignment/>
    </xf>
    <xf numFmtId="3" fontId="47" fillId="0" borderId="0" xfId="0" applyNumberFormat="1" applyFont="1" applyAlignment="1">
      <alignment/>
    </xf>
    <xf numFmtId="37" fontId="47" fillId="0" borderId="11" xfId="33" applyNumberFormat="1" applyFont="1" applyBorder="1" applyAlignment="1">
      <alignment horizontal="right"/>
      <protection/>
    </xf>
    <xf numFmtId="0" fontId="21" fillId="0" borderId="0" xfId="0" applyFont="1" applyAlignment="1">
      <alignment/>
    </xf>
    <xf numFmtId="0" fontId="21" fillId="0" borderId="0" xfId="36" applyFont="1" applyAlignment="1">
      <alignment horizontal="left"/>
      <protection/>
    </xf>
    <xf numFmtId="0" fontId="21" fillId="0" borderId="0" xfId="35" applyFont="1" applyAlignment="1">
      <alignment horizontal="left"/>
      <protection/>
    </xf>
    <xf numFmtId="0" fontId="21" fillId="0" borderId="0" xfId="34" applyFont="1" applyAlignment="1">
      <alignment horizontal="left"/>
      <protection/>
    </xf>
    <xf numFmtId="3" fontId="16" fillId="0" borderId="21" xfId="0" applyNumberFormat="1" applyFont="1" applyBorder="1" applyAlignment="1">
      <alignment horizontal="right"/>
    </xf>
    <xf numFmtId="41" fontId="47" fillId="0" borderId="21" xfId="0" applyNumberFormat="1" applyFont="1" applyFill="1" applyBorder="1" applyAlignment="1">
      <alignment horizontal="right"/>
    </xf>
    <xf numFmtId="3" fontId="20" fillId="0" borderId="21" xfId="0" applyNumberFormat="1" applyFont="1" applyBorder="1" applyAlignment="1">
      <alignment horizontal="right"/>
    </xf>
    <xf numFmtId="3" fontId="20" fillId="0" borderId="21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37" fontId="20" fillId="0" borderId="21" xfId="33" applyNumberFormat="1" applyFont="1" applyBorder="1" applyAlignment="1">
      <alignment horizontal="right"/>
      <protection/>
    </xf>
    <xf numFmtId="41" fontId="20" fillId="0" borderId="21" xfId="35" applyNumberFormat="1" applyFont="1" applyBorder="1" applyAlignment="1">
      <alignment horizontal="right"/>
      <protection/>
    </xf>
    <xf numFmtId="41" fontId="20" fillId="0" borderId="21" xfId="0" applyNumberFormat="1" applyFont="1" applyBorder="1" applyAlignment="1">
      <alignment/>
    </xf>
    <xf numFmtId="3" fontId="19" fillId="0" borderId="0" xfId="0" applyNumberFormat="1" applyFont="1" applyFill="1" applyAlignment="1">
      <alignment/>
    </xf>
    <xf numFmtId="3" fontId="19" fillId="0" borderId="21" xfId="0" applyNumberFormat="1" applyFont="1" applyFill="1" applyBorder="1" applyAlignment="1">
      <alignment horizontal="right"/>
    </xf>
    <xf numFmtId="3" fontId="19" fillId="0" borderId="21" xfId="33" applyNumberFormat="1" applyFont="1" applyBorder="1" applyAlignment="1">
      <alignment horizontal="right"/>
      <protection/>
    </xf>
    <xf numFmtId="3" fontId="15" fillId="0" borderId="21" xfId="36" applyNumberFormat="1" applyFont="1" applyBorder="1" applyAlignment="1">
      <alignment horizontal="right"/>
      <protection/>
    </xf>
    <xf numFmtId="3" fontId="15" fillId="0" borderId="21" xfId="35" applyNumberFormat="1" applyFont="1" applyBorder="1" applyAlignment="1">
      <alignment horizontal="right"/>
      <protection/>
    </xf>
    <xf numFmtId="3" fontId="15" fillId="0" borderId="21" xfId="34" applyNumberFormat="1" applyFont="1" applyBorder="1" applyAlignment="1">
      <alignment horizontal="right"/>
      <protection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Continuous"/>
    </xf>
    <xf numFmtId="41" fontId="19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9" fillId="0" borderId="10" xfId="0" applyFont="1" applyFill="1" applyBorder="1" applyAlignment="1">
      <alignment horizontal="centerContinuous" vertical="center"/>
    </xf>
    <xf numFmtId="41" fontId="19" fillId="0" borderId="13" xfId="0" applyNumberFormat="1" applyFont="1" applyFill="1" applyBorder="1" applyAlignment="1">
      <alignment horizontal="center" vertical="distributed"/>
    </xf>
    <xf numFmtId="0" fontId="19" fillId="0" borderId="16" xfId="0" applyFont="1" applyFill="1" applyBorder="1" applyAlignment="1">
      <alignment horizontal="centerContinuous" vertical="center"/>
    </xf>
    <xf numFmtId="0" fontId="19" fillId="0" borderId="17" xfId="0" applyFont="1" applyFill="1" applyBorder="1" applyAlignment="1">
      <alignment horizontal="centerContinuous"/>
    </xf>
    <xf numFmtId="0" fontId="19" fillId="0" borderId="12" xfId="0" applyFont="1" applyFill="1" applyBorder="1" applyAlignment="1">
      <alignment horizontal="centerContinuous"/>
    </xf>
    <xf numFmtId="0" fontId="19" fillId="0" borderId="0" xfId="0" applyFont="1" applyFill="1" applyAlignment="1">
      <alignment horizontal="centerContinuous" vertical="center"/>
    </xf>
    <xf numFmtId="0" fontId="19" fillId="0" borderId="1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top"/>
    </xf>
    <xf numFmtId="37" fontId="15" fillId="0" borderId="21" xfId="0" applyNumberFormat="1" applyFont="1" applyFill="1" applyBorder="1" applyAlignment="1">
      <alignment horizontal="right"/>
    </xf>
    <xf numFmtId="0" fontId="15" fillId="0" borderId="0" xfId="0" applyFont="1" applyFill="1" applyAlignment="1">
      <alignment/>
    </xf>
    <xf numFmtId="0" fontId="10" fillId="0" borderId="0" xfId="0" applyFont="1" applyFill="1" applyAlignment="1">
      <alignment/>
    </xf>
    <xf numFmtId="41" fontId="10" fillId="0" borderId="0" xfId="0" applyNumberFormat="1" applyFont="1" applyFill="1" applyAlignment="1">
      <alignment/>
    </xf>
    <xf numFmtId="3" fontId="19" fillId="0" borderId="21" xfId="36" applyNumberFormat="1" applyFont="1" applyFill="1" applyBorder="1" applyAlignment="1">
      <alignment horizontal="right"/>
      <protection/>
    </xf>
    <xf numFmtId="4" fontId="19" fillId="0" borderId="10" xfId="34" applyNumberFormat="1" applyFont="1" applyFill="1" applyBorder="1" applyAlignment="1">
      <alignment horizontal="right"/>
      <protection/>
    </xf>
    <xf numFmtId="3" fontId="19" fillId="0" borderId="21" xfId="34" applyNumberFormat="1" applyFont="1" applyFill="1" applyBorder="1" applyAlignment="1">
      <alignment horizontal="right"/>
      <protection/>
    </xf>
    <xf numFmtId="0" fontId="19" fillId="0" borderId="23" xfId="0" applyFont="1" applyBorder="1" applyAlignment="1">
      <alignment horizontal="centerContinuous" vertical="center"/>
    </xf>
    <xf numFmtId="3" fontId="20" fillId="0" borderId="25" xfId="0" applyNumberFormat="1" applyFont="1" applyBorder="1" applyAlignment="1">
      <alignment horizontal="right"/>
    </xf>
    <xf numFmtId="3" fontId="16" fillId="0" borderId="21" xfId="0" applyNumberFormat="1" applyFont="1" applyBorder="1" applyAlignment="1">
      <alignment horizontal="left"/>
    </xf>
    <xf numFmtId="37" fontId="18" fillId="0" borderId="21" xfId="0" applyNumberFormat="1" applyFont="1" applyBorder="1" applyAlignment="1">
      <alignment horizontal="left"/>
    </xf>
    <xf numFmtId="37" fontId="18" fillId="0" borderId="21" xfId="0" applyNumberFormat="1" applyFont="1" applyFill="1" applyBorder="1" applyAlignment="1">
      <alignment horizontal="left"/>
    </xf>
    <xf numFmtId="3" fontId="18" fillId="0" borderId="21" xfId="33" applyNumberFormat="1" applyFont="1" applyBorder="1" applyAlignment="1">
      <alignment horizontal="left"/>
      <protection/>
    </xf>
    <xf numFmtId="3" fontId="18" fillId="0" borderId="21" xfId="36" applyNumberFormat="1" applyFont="1" applyBorder="1" applyAlignment="1">
      <alignment horizontal="left"/>
      <protection/>
    </xf>
    <xf numFmtId="3" fontId="18" fillId="0" borderId="21" xfId="35" applyNumberFormat="1" applyFont="1" applyBorder="1" applyAlignment="1">
      <alignment horizontal="left"/>
      <protection/>
    </xf>
    <xf numFmtId="3" fontId="18" fillId="0" borderId="21" xfId="34" applyNumberFormat="1" applyFont="1" applyBorder="1" applyAlignment="1">
      <alignment horizontal="left"/>
      <protection/>
    </xf>
    <xf numFmtId="3" fontId="20" fillId="0" borderId="21" xfId="36" applyNumberFormat="1" applyFont="1" applyFill="1" applyBorder="1" applyAlignment="1">
      <alignment horizontal="right"/>
      <protection/>
    </xf>
    <xf numFmtId="3" fontId="20" fillId="0" borderId="21" xfId="34" applyNumberFormat="1" applyFont="1" applyFill="1" applyBorder="1" applyAlignment="1">
      <alignment horizontal="right"/>
      <protection/>
    </xf>
    <xf numFmtId="3" fontId="20" fillId="0" borderId="21" xfId="0" applyNumberFormat="1" applyFont="1" applyFill="1" applyBorder="1" applyAlignment="1">
      <alignment horizontal="right"/>
    </xf>
    <xf numFmtId="3" fontId="20" fillId="0" borderId="0" xfId="0" applyNumberFormat="1" applyFont="1" applyFill="1" applyAlignment="1">
      <alignment/>
    </xf>
    <xf numFmtId="41" fontId="20" fillId="0" borderId="21" xfId="0" applyNumberFormat="1" applyFont="1" applyBorder="1" applyAlignment="1">
      <alignment horizontal="right"/>
    </xf>
    <xf numFmtId="3" fontId="50" fillId="0" borderId="11" xfId="0" applyNumberFormat="1" applyFont="1" applyFill="1" applyBorder="1" applyAlignment="1">
      <alignment horizontal="right"/>
    </xf>
    <xf numFmtId="41" fontId="50" fillId="0" borderId="11" xfId="0" applyNumberFormat="1" applyFont="1" applyFill="1" applyBorder="1" applyAlignment="1">
      <alignment horizontal="right"/>
    </xf>
    <xf numFmtId="37" fontId="50" fillId="0" borderId="11" xfId="0" applyNumberFormat="1" applyFont="1" applyFill="1" applyBorder="1" applyAlignment="1">
      <alignment horizontal="right"/>
    </xf>
    <xf numFmtId="37" fontId="48" fillId="0" borderId="11" xfId="0" applyNumberFormat="1" applyFont="1" applyFill="1" applyBorder="1" applyAlignment="1">
      <alignment horizontal="right"/>
    </xf>
    <xf numFmtId="37" fontId="51" fillId="0" borderId="11" xfId="0" applyNumberFormat="1" applyFont="1" applyFill="1" applyBorder="1" applyAlignment="1">
      <alignment horizontal="right"/>
    </xf>
    <xf numFmtId="41" fontId="51" fillId="0" borderId="11" xfId="0" applyNumberFormat="1" applyFont="1" applyFill="1" applyBorder="1" applyAlignment="1">
      <alignment horizontal="right"/>
    </xf>
    <xf numFmtId="37" fontId="50" fillId="0" borderId="21" xfId="0" applyNumberFormat="1" applyFont="1" applyFill="1" applyBorder="1" applyAlignment="1">
      <alignment horizontal="right"/>
    </xf>
    <xf numFmtId="37" fontId="51" fillId="0" borderId="21" xfId="0" applyNumberFormat="1" applyFont="1" applyFill="1" applyBorder="1" applyAlignment="1">
      <alignment horizontal="right"/>
    </xf>
    <xf numFmtId="41" fontId="51" fillId="0" borderId="21" xfId="0" applyNumberFormat="1" applyFont="1" applyFill="1" applyBorder="1" applyAlignment="1">
      <alignment horizontal="right"/>
    </xf>
    <xf numFmtId="37" fontId="49" fillId="0" borderId="21" xfId="0" applyNumberFormat="1" applyFont="1" applyFill="1" applyBorder="1" applyAlignment="1">
      <alignment horizontal="right"/>
    </xf>
    <xf numFmtId="37" fontId="52" fillId="0" borderId="21" xfId="0" applyNumberFormat="1" applyFont="1" applyFill="1" applyBorder="1" applyAlignment="1">
      <alignment horizontal="right"/>
    </xf>
    <xf numFmtId="41" fontId="52" fillId="0" borderId="21" xfId="0" applyNumberFormat="1" applyFont="1" applyFill="1" applyBorder="1" applyAlignment="1">
      <alignment horizontal="right"/>
    </xf>
    <xf numFmtId="177" fontId="49" fillId="0" borderId="10" xfId="43" applyNumberFormat="1" applyFont="1" applyFill="1" applyBorder="1" applyAlignment="1">
      <alignment horizontal="right"/>
    </xf>
    <xf numFmtId="4" fontId="49" fillId="0" borderId="10" xfId="0" applyNumberFormat="1" applyFont="1" applyFill="1" applyBorder="1" applyAlignment="1">
      <alignment horizontal="right"/>
    </xf>
    <xf numFmtId="41" fontId="19" fillId="0" borderId="0" xfId="35" applyNumberFormat="1" applyFont="1" applyAlignment="1">
      <alignment horizontal="left"/>
      <protection/>
    </xf>
    <xf numFmtId="41" fontId="19" fillId="0" borderId="21" xfId="0" applyNumberFormat="1" applyFont="1" applyBorder="1" applyAlignment="1">
      <alignment horizontal="right"/>
    </xf>
    <xf numFmtId="3" fontId="19" fillId="0" borderId="21" xfId="0" applyNumberFormat="1" applyFont="1" applyBorder="1" applyAlignment="1">
      <alignment/>
    </xf>
    <xf numFmtId="0" fontId="15" fillId="0" borderId="16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41" fontId="19" fillId="0" borderId="15" xfId="0" applyNumberFormat="1" applyFont="1" applyFill="1" applyBorder="1" applyAlignment="1">
      <alignment horizontal="center" vertical="top"/>
    </xf>
    <xf numFmtId="0" fontId="19" fillId="0" borderId="26" xfId="0" applyFont="1" applyFill="1" applyBorder="1" applyAlignment="1">
      <alignment horizontal="center" vertical="top" wrapText="1"/>
    </xf>
    <xf numFmtId="4" fontId="19" fillId="0" borderId="10" xfId="36" applyNumberFormat="1" applyFont="1" applyFill="1" applyBorder="1" applyAlignment="1">
      <alignment horizontal="right"/>
      <protection/>
    </xf>
    <xf numFmtId="4" fontId="8" fillId="0" borderId="0" xfId="36" applyNumberFormat="1" applyFont="1" applyFill="1" applyBorder="1" applyAlignment="1">
      <alignment horizontal="right"/>
      <protection/>
    </xf>
    <xf numFmtId="3" fontId="20" fillId="0" borderId="21" xfId="35" applyNumberFormat="1" applyFont="1" applyBorder="1" applyAlignment="1">
      <alignment horizontal="right"/>
      <protection/>
    </xf>
    <xf numFmtId="3" fontId="19" fillId="0" borderId="21" xfId="35" applyNumberFormat="1" applyFont="1" applyBorder="1" applyAlignment="1">
      <alignment horizontal="right"/>
      <protection/>
    </xf>
    <xf numFmtId="3" fontId="20" fillId="0" borderId="21" xfId="0" applyNumberFormat="1" applyFont="1" applyBorder="1" applyAlignment="1">
      <alignment/>
    </xf>
    <xf numFmtId="3" fontId="19" fillId="0" borderId="0" xfId="36" applyNumberFormat="1" applyFont="1">
      <alignment/>
      <protection/>
    </xf>
    <xf numFmtId="37" fontId="54" fillId="0" borderId="21" xfId="0" applyNumberFormat="1" applyFont="1" applyFill="1" applyBorder="1" applyAlignment="1">
      <alignment horizontal="right"/>
    </xf>
    <xf numFmtId="3" fontId="53" fillId="0" borderId="21" xfId="35" applyNumberFormat="1" applyFont="1" applyBorder="1" applyAlignment="1">
      <alignment horizontal="right"/>
      <protection/>
    </xf>
    <xf numFmtId="0" fontId="53" fillId="0" borderId="0" xfId="34" applyFont="1" applyBorder="1" applyAlignment="1">
      <alignment horizontal="center" vertical="center"/>
      <protection/>
    </xf>
    <xf numFmtId="37" fontId="52" fillId="18" borderId="21" xfId="0" applyNumberFormat="1" applyFont="1" applyFill="1" applyBorder="1" applyAlignment="1">
      <alignment horizontal="right"/>
    </xf>
    <xf numFmtId="179" fontId="1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15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78" fontId="0" fillId="0" borderId="0" xfId="0" applyNumberFormat="1" applyFont="1" applyBorder="1" applyAlignment="1">
      <alignment horizontal="right"/>
    </xf>
    <xf numFmtId="41" fontId="49" fillId="0" borderId="21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77" fontId="0" fillId="0" borderId="0" xfId="0" applyNumberFormat="1" applyFont="1" applyFill="1" applyAlignment="1">
      <alignment/>
    </xf>
    <xf numFmtId="41" fontId="19" fillId="0" borderId="21" xfId="0" applyNumberFormat="1" applyFont="1" applyFill="1" applyBorder="1" applyAlignment="1">
      <alignment horizontal="right"/>
    </xf>
    <xf numFmtId="43" fontId="0" fillId="0" borderId="10" xfId="0" applyNumberFormat="1" applyFont="1" applyBorder="1" applyAlignment="1">
      <alignment/>
    </xf>
    <xf numFmtId="43" fontId="0" fillId="0" borderId="27" xfId="0" applyNumberFormat="1" applyFont="1" applyBorder="1" applyAlignment="1">
      <alignment/>
    </xf>
    <xf numFmtId="43" fontId="0" fillId="0" borderId="0" xfId="0" applyNumberFormat="1" applyFont="1" applyAlignment="1">
      <alignment/>
    </xf>
    <xf numFmtId="4" fontId="8" fillId="0" borderId="0" xfId="36" applyNumberFormat="1" applyFont="1" applyFill="1">
      <alignment/>
      <protection/>
    </xf>
    <xf numFmtId="4" fontId="8" fillId="0" borderId="0" xfId="36" applyNumberFormat="1" applyFont="1">
      <alignment/>
      <protection/>
    </xf>
    <xf numFmtId="3" fontId="53" fillId="0" borderId="21" xfId="34" applyNumberFormat="1" applyFont="1" applyBorder="1" applyAlignment="1">
      <alignment horizontal="right"/>
      <protection/>
    </xf>
    <xf numFmtId="3" fontId="53" fillId="0" borderId="21" xfId="36" applyNumberFormat="1" applyFont="1" applyFill="1" applyBorder="1" applyAlignment="1">
      <alignment horizontal="right"/>
      <protection/>
    </xf>
    <xf numFmtId="37" fontId="10" fillId="0" borderId="0" xfId="0" applyNumberFormat="1" applyFont="1" applyFill="1" applyAlignment="1">
      <alignment/>
    </xf>
    <xf numFmtId="179" fontId="10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/>
    </xf>
    <xf numFmtId="3" fontId="53" fillId="0" borderId="21" xfId="0" applyNumberFormat="1" applyFont="1" applyBorder="1" applyAlignment="1">
      <alignment/>
    </xf>
    <xf numFmtId="37" fontId="55" fillId="0" borderId="21" xfId="0" applyNumberFormat="1" applyFont="1" applyFill="1" applyBorder="1" applyAlignment="1">
      <alignment horizontal="right"/>
    </xf>
    <xf numFmtId="189" fontId="11" fillId="0" borderId="0" xfId="0" applyNumberFormat="1" applyFont="1" applyAlignment="1">
      <alignment/>
    </xf>
    <xf numFmtId="37" fontId="15" fillId="0" borderId="21" xfId="0" applyNumberFormat="1" applyFont="1" applyFill="1" applyBorder="1" applyAlignment="1">
      <alignment horizontal="right"/>
    </xf>
    <xf numFmtId="37" fontId="49" fillId="0" borderId="0" xfId="0" applyNumberFormat="1" applyFont="1" applyFill="1" applyBorder="1" applyAlignment="1">
      <alignment horizontal="right"/>
    </xf>
    <xf numFmtId="37" fontId="49" fillId="0" borderId="21" xfId="0" applyNumberFormat="1" applyFont="1" applyFill="1" applyBorder="1" applyAlignment="1">
      <alignment horizontal="right"/>
    </xf>
    <xf numFmtId="3" fontId="19" fillId="0" borderId="26" xfId="0" applyNumberFormat="1" applyFont="1" applyFill="1" applyBorder="1" applyAlignment="1">
      <alignment/>
    </xf>
    <xf numFmtId="3" fontId="19" fillId="0" borderId="22" xfId="35" applyNumberFormat="1" applyFont="1" applyBorder="1" applyAlignment="1">
      <alignment horizontal="right"/>
      <protection/>
    </xf>
    <xf numFmtId="3" fontId="19" fillId="0" borderId="21" xfId="0" applyNumberFormat="1" applyFont="1" applyFill="1" applyBorder="1" applyAlignment="1">
      <alignment/>
    </xf>
    <xf numFmtId="3" fontId="19" fillId="0" borderId="0" xfId="0" applyNumberFormat="1" applyFont="1" applyBorder="1" applyAlignment="1">
      <alignment horizontal="right"/>
    </xf>
    <xf numFmtId="3" fontId="8" fillId="0" borderId="21" xfId="0" applyNumberFormat="1" applyFont="1" applyBorder="1" applyAlignment="1">
      <alignment horizontal="right"/>
    </xf>
    <xf numFmtId="3" fontId="8" fillId="0" borderId="22" xfId="0" applyNumberFormat="1" applyFont="1" applyBorder="1" applyAlignment="1">
      <alignment horizontal="right"/>
    </xf>
    <xf numFmtId="178" fontId="19" fillId="0" borderId="10" xfId="36" applyNumberFormat="1" applyFont="1" applyBorder="1" applyAlignment="1">
      <alignment horizontal="right"/>
      <protection/>
    </xf>
    <xf numFmtId="3" fontId="53" fillId="0" borderId="24" xfId="0" applyNumberFormat="1" applyFont="1" applyBorder="1" applyAlignment="1">
      <alignment/>
    </xf>
    <xf numFmtId="3" fontId="19" fillId="0" borderId="24" xfId="0" applyNumberFormat="1" applyFont="1" applyFill="1" applyBorder="1" applyAlignment="1">
      <alignment/>
    </xf>
    <xf numFmtId="188" fontId="19" fillId="0" borderId="0" xfId="0" applyNumberFormat="1" applyFont="1" applyFill="1" applyAlignment="1">
      <alignment/>
    </xf>
    <xf numFmtId="37" fontId="19" fillId="0" borderId="0" xfId="0" applyNumberFormat="1" applyFont="1" applyFill="1" applyAlignment="1">
      <alignment/>
    </xf>
    <xf numFmtId="37" fontId="19" fillId="0" borderId="0" xfId="0" applyNumberFormat="1" applyFont="1" applyFill="1" applyAlignment="1">
      <alignment horizontal="centerContinuous"/>
    </xf>
    <xf numFmtId="37" fontId="19" fillId="0" borderId="0" xfId="0" applyNumberFormat="1" applyFont="1" applyFill="1" applyBorder="1" applyAlignment="1">
      <alignment/>
    </xf>
    <xf numFmtId="37" fontId="50" fillId="0" borderId="0" xfId="0" applyNumberFormat="1" applyFont="1" applyFill="1" applyBorder="1" applyAlignment="1">
      <alignment horizontal="right"/>
    </xf>
    <xf numFmtId="186" fontId="15" fillId="11" borderId="0" xfId="0" applyNumberFormat="1" applyFont="1" applyFill="1" applyBorder="1" applyAlignment="1">
      <alignment horizontal="right"/>
    </xf>
    <xf numFmtId="41" fontId="19" fillId="0" borderId="21" xfId="34" applyNumberFormat="1" applyFont="1" applyBorder="1" applyAlignment="1">
      <alignment horizontal="right"/>
      <protection/>
    </xf>
    <xf numFmtId="41" fontId="15" fillId="0" borderId="21" xfId="35" applyNumberFormat="1" applyFont="1" applyBorder="1" applyAlignment="1">
      <alignment horizontal="right"/>
      <protection/>
    </xf>
    <xf numFmtId="41" fontId="53" fillId="0" borderId="21" xfId="35" applyNumberFormat="1" applyFont="1" applyBorder="1" applyAlignment="1">
      <alignment horizontal="right"/>
      <protection/>
    </xf>
    <xf numFmtId="41" fontId="15" fillId="0" borderId="21" xfId="34" applyNumberFormat="1" applyFont="1" applyBorder="1" applyAlignment="1">
      <alignment horizontal="right"/>
      <protection/>
    </xf>
    <xf numFmtId="41" fontId="19" fillId="0" borderId="21" xfId="34" applyNumberFormat="1" applyFont="1" applyFill="1" applyBorder="1" applyAlignment="1">
      <alignment horizontal="right"/>
      <protection/>
    </xf>
    <xf numFmtId="41" fontId="19" fillId="0" borderId="22" xfId="35" applyNumberFormat="1" applyFont="1" applyBorder="1" applyAlignment="1">
      <alignment horizontal="right"/>
      <protection/>
    </xf>
    <xf numFmtId="41" fontId="19" fillId="0" borderId="22" xfId="34" applyNumberFormat="1" applyFont="1" applyBorder="1" applyAlignment="1">
      <alignment horizontal="right"/>
      <protection/>
    </xf>
    <xf numFmtId="41" fontId="8" fillId="0" borderId="0" xfId="34" applyNumberFormat="1" applyFont="1" applyBorder="1" applyAlignment="1">
      <alignment horizontal="right"/>
      <protection/>
    </xf>
    <xf numFmtId="41" fontId="8" fillId="0" borderId="0" xfId="34" applyNumberFormat="1" applyFont="1">
      <alignment/>
      <protection/>
    </xf>
    <xf numFmtId="41" fontId="0" fillId="0" borderId="0" xfId="0" applyNumberFormat="1" applyFont="1" applyBorder="1" applyAlignment="1">
      <alignment/>
    </xf>
    <xf numFmtId="41" fontId="15" fillId="0" borderId="0" xfId="0" applyNumberFormat="1" applyFont="1" applyBorder="1" applyAlignment="1">
      <alignment horizontal="right"/>
    </xf>
    <xf numFmtId="41" fontId="15" fillId="0" borderId="24" xfId="0" applyNumberFormat="1" applyFont="1" applyBorder="1" applyAlignment="1">
      <alignment horizontal="right"/>
    </xf>
    <xf numFmtId="41" fontId="15" fillId="0" borderId="21" xfId="0" applyNumberFormat="1" applyFont="1" applyFill="1" applyBorder="1" applyAlignment="1">
      <alignment horizontal="right"/>
    </xf>
    <xf numFmtId="41" fontId="0" fillId="0" borderId="0" xfId="0" applyNumberFormat="1" applyFont="1" applyBorder="1" applyAlignment="1">
      <alignment/>
    </xf>
    <xf numFmtId="195" fontId="15" fillId="0" borderId="21" xfId="0" applyNumberFormat="1" applyFont="1" applyFill="1" applyBorder="1" applyAlignment="1">
      <alignment horizontal="right"/>
    </xf>
    <xf numFmtId="195" fontId="49" fillId="0" borderId="21" xfId="0" applyNumberFormat="1" applyFont="1" applyFill="1" applyBorder="1" applyAlignment="1">
      <alignment horizontal="right"/>
    </xf>
    <xf numFmtId="195" fontId="52" fillId="0" borderId="21" xfId="0" applyNumberFormat="1" applyFont="1" applyFill="1" applyBorder="1" applyAlignment="1">
      <alignment horizontal="right"/>
    </xf>
    <xf numFmtId="195" fontId="49" fillId="0" borderId="21" xfId="0" applyNumberFormat="1" applyFont="1" applyFill="1" applyBorder="1" applyAlignment="1">
      <alignment horizontal="right"/>
    </xf>
    <xf numFmtId="195" fontId="0" fillId="0" borderId="0" xfId="0" applyNumberFormat="1" applyFont="1" applyFill="1" applyAlignment="1">
      <alignment/>
    </xf>
    <xf numFmtId="195" fontId="8" fillId="0" borderId="21" xfId="0" applyNumberFormat="1" applyFont="1" applyBorder="1" applyAlignment="1">
      <alignment horizontal="right"/>
    </xf>
    <xf numFmtId="195" fontId="8" fillId="0" borderId="21" xfId="0" applyNumberFormat="1" applyFont="1" applyBorder="1" applyAlignment="1">
      <alignment horizontal="right"/>
    </xf>
    <xf numFmtId="195" fontId="0" fillId="0" borderId="0" xfId="0" applyNumberFormat="1" applyFont="1" applyBorder="1" applyAlignment="1">
      <alignment horizontal="right"/>
    </xf>
    <xf numFmtId="195" fontId="0" fillId="0" borderId="0" xfId="0" applyNumberFormat="1" applyFont="1" applyAlignment="1">
      <alignment horizontal="right"/>
    </xf>
    <xf numFmtId="41" fontId="20" fillId="0" borderId="28" xfId="0" applyNumberFormat="1" applyFont="1" applyBorder="1" applyAlignment="1">
      <alignment/>
    </xf>
    <xf numFmtId="179" fontId="19" fillId="0" borderId="21" xfId="35" applyNumberFormat="1" applyFont="1" applyBorder="1" applyAlignment="1">
      <alignment horizontal="right"/>
      <protection/>
    </xf>
    <xf numFmtId="179" fontId="53" fillId="0" borderId="21" xfId="35" applyNumberFormat="1" applyFont="1" applyBorder="1" applyAlignment="1">
      <alignment horizontal="right"/>
      <protection/>
    </xf>
    <xf numFmtId="4" fontId="53" fillId="0" borderId="10" xfId="34" applyNumberFormat="1" applyFont="1" applyBorder="1" applyAlignment="1">
      <alignment horizontal="right"/>
      <protection/>
    </xf>
    <xf numFmtId="4" fontId="53" fillId="0" borderId="10" xfId="0" applyNumberFormat="1" applyFont="1" applyBorder="1" applyAlignment="1">
      <alignment horizontal="right"/>
    </xf>
    <xf numFmtId="0" fontId="8" fillId="0" borderId="0" xfId="0" applyFont="1" applyFill="1" applyAlignment="1">
      <alignment/>
    </xf>
    <xf numFmtId="43" fontId="19" fillId="0" borderId="10" xfId="0" applyNumberFormat="1" applyFont="1" applyBorder="1" applyAlignment="1">
      <alignment horizontal="center"/>
    </xf>
    <xf numFmtId="43" fontId="19" fillId="0" borderId="10" xfId="35" applyNumberFormat="1" applyFont="1" applyBorder="1" applyAlignment="1">
      <alignment horizontal="right"/>
      <protection/>
    </xf>
    <xf numFmtId="43" fontId="19" fillId="0" borderId="10" xfId="34" applyNumberFormat="1" applyFont="1" applyBorder="1" applyAlignment="1">
      <alignment horizontal="right"/>
      <protection/>
    </xf>
    <xf numFmtId="43" fontId="8" fillId="0" borderId="19" xfId="35" applyNumberFormat="1" applyFont="1" applyBorder="1" applyAlignment="1">
      <alignment horizontal="right"/>
      <protection/>
    </xf>
    <xf numFmtId="43" fontId="8" fillId="0" borderId="0" xfId="35" applyNumberFormat="1" applyFont="1" applyBorder="1">
      <alignment/>
      <protection/>
    </xf>
    <xf numFmtId="41" fontId="18" fillId="0" borderId="24" xfId="0" applyNumberFormat="1" applyFont="1" applyBorder="1" applyAlignment="1">
      <alignment horizontal="right"/>
    </xf>
    <xf numFmtId="41" fontId="18" fillId="0" borderId="0" xfId="0" applyNumberFormat="1" applyFont="1" applyBorder="1" applyAlignment="1">
      <alignment horizontal="right"/>
    </xf>
    <xf numFmtId="0" fontId="15" fillId="0" borderId="29" xfId="0" applyFont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33" xfId="0" applyFont="1" applyBorder="1" applyAlignment="1">
      <alignment horizontal="right"/>
    </xf>
    <xf numFmtId="0" fontId="0" fillId="0" borderId="33" xfId="0" applyBorder="1" applyAlignment="1">
      <alignment horizontal="right"/>
    </xf>
    <xf numFmtId="0" fontId="15" fillId="0" borderId="34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right"/>
    </xf>
    <xf numFmtId="0" fontId="19" fillId="0" borderId="14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4" xfId="33" applyFont="1" applyBorder="1" applyAlignment="1">
      <alignment horizontal="center" vertical="center"/>
      <protection/>
    </xf>
    <xf numFmtId="0" fontId="19" fillId="0" borderId="18" xfId="33" applyFont="1" applyBorder="1" applyAlignment="1">
      <alignment horizontal="center" vertical="center"/>
      <protection/>
    </xf>
    <xf numFmtId="0" fontId="19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33" xfId="0" applyFont="1" applyBorder="1" applyAlignment="1">
      <alignment horizontal="right"/>
    </xf>
    <xf numFmtId="0" fontId="19" fillId="0" borderId="16" xfId="33" applyFont="1" applyBorder="1" applyAlignment="1">
      <alignment horizontal="center"/>
      <protection/>
    </xf>
    <xf numFmtId="0" fontId="19" fillId="0" borderId="17" xfId="33" applyFont="1" applyBorder="1" applyAlignment="1">
      <alignment horizontal="center"/>
      <protection/>
    </xf>
    <xf numFmtId="0" fontId="19" fillId="0" borderId="44" xfId="33" applyFont="1" applyBorder="1" applyAlignment="1">
      <alignment horizontal="center"/>
      <protection/>
    </xf>
    <xf numFmtId="0" fontId="19" fillId="0" borderId="12" xfId="33" applyFont="1" applyBorder="1" applyAlignment="1">
      <alignment horizontal="center"/>
      <protection/>
    </xf>
    <xf numFmtId="0" fontId="19" fillId="0" borderId="34" xfId="33" applyFont="1" applyBorder="1" applyAlignment="1">
      <alignment horizontal="center" vertical="center"/>
      <protection/>
    </xf>
    <xf numFmtId="0" fontId="26" fillId="0" borderId="3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9" fillId="0" borderId="39" xfId="33" applyFont="1" applyBorder="1" applyAlignment="1">
      <alignment horizontal="center" vertical="center"/>
      <protection/>
    </xf>
    <xf numFmtId="0" fontId="4" fillId="0" borderId="41" xfId="0" applyFont="1" applyBorder="1" applyAlignment="1">
      <alignment horizontal="center" vertical="center"/>
    </xf>
    <xf numFmtId="0" fontId="19" fillId="0" borderId="14" xfId="36" applyFont="1" applyBorder="1" applyAlignment="1">
      <alignment horizontal="center" vertical="center"/>
      <protection/>
    </xf>
    <xf numFmtId="0" fontId="19" fillId="0" borderId="11" xfId="36" applyFont="1" applyBorder="1" applyAlignment="1">
      <alignment horizontal="center" vertical="center"/>
      <protection/>
    </xf>
    <xf numFmtId="0" fontId="19" fillId="0" borderId="18" xfId="36" applyFont="1" applyBorder="1" applyAlignment="1">
      <alignment horizontal="center" vertical="center"/>
      <protection/>
    </xf>
    <xf numFmtId="0" fontId="19" fillId="0" borderId="34" xfId="36" applyFont="1" applyBorder="1" applyAlignment="1">
      <alignment horizontal="center" vertical="center"/>
      <protection/>
    </xf>
    <xf numFmtId="0" fontId="19" fillId="0" borderId="16" xfId="36" applyFont="1" applyBorder="1" applyAlignment="1">
      <alignment horizontal="center" vertical="center"/>
      <protection/>
    </xf>
    <xf numFmtId="0" fontId="19" fillId="0" borderId="12" xfId="36" applyFont="1" applyBorder="1" applyAlignment="1">
      <alignment horizontal="center" vertical="center"/>
      <protection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19" fillId="0" borderId="17" xfId="36" applyFont="1" applyBorder="1" applyAlignment="1">
      <alignment horizontal="center" vertical="center"/>
      <protection/>
    </xf>
    <xf numFmtId="0" fontId="19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9" fillId="0" borderId="34" xfId="35" applyFont="1" applyBorder="1" applyAlignment="1">
      <alignment horizontal="center" vertical="center"/>
      <protection/>
    </xf>
    <xf numFmtId="0" fontId="19" fillId="0" borderId="16" xfId="35" applyFont="1" applyBorder="1" applyAlignment="1">
      <alignment horizontal="center" vertical="center"/>
      <protection/>
    </xf>
    <xf numFmtId="0" fontId="19" fillId="0" borderId="17" xfId="35" applyFont="1" applyBorder="1" applyAlignment="1">
      <alignment horizontal="center" vertical="center"/>
      <protection/>
    </xf>
    <xf numFmtId="0" fontId="19" fillId="0" borderId="12" xfId="35" applyFont="1" applyBorder="1" applyAlignment="1">
      <alignment horizontal="center" vertical="center"/>
      <protection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19" fillId="0" borderId="34" xfId="34" applyFont="1" applyBorder="1" applyAlignment="1">
      <alignment horizontal="center" vertical="center"/>
      <protection/>
    </xf>
    <xf numFmtId="0" fontId="19" fillId="0" borderId="16" xfId="34" applyFont="1" applyBorder="1" applyAlignment="1">
      <alignment horizontal="center" vertical="center"/>
      <protection/>
    </xf>
    <xf numFmtId="0" fontId="19" fillId="0" borderId="17" xfId="34" applyFont="1" applyBorder="1" applyAlignment="1">
      <alignment horizontal="center" vertical="center"/>
      <protection/>
    </xf>
    <xf numFmtId="0" fontId="19" fillId="0" borderId="12" xfId="34" applyFont="1" applyBorder="1" applyAlignment="1">
      <alignment horizontal="center" vertical="center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102統計指標" xfId="33"/>
    <cellStyle name="一般_Sheet1" xfId="34"/>
    <cellStyle name="一般_Sheet1_9301" xfId="35"/>
    <cellStyle name="一般_Sheet1_9405指標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4"/>
  <sheetViews>
    <sheetView showGridLines="0" zoomScale="90" zoomScaleNormal="90" zoomScalePageLayoutView="0" workbookViewId="0" topLeftCell="A1">
      <selection activeCell="F17" sqref="F17"/>
    </sheetView>
  </sheetViews>
  <sheetFormatPr defaultColWidth="22.625" defaultRowHeight="24" customHeight="1"/>
  <cols>
    <col min="1" max="5" width="9.00390625" style="0" customWidth="1"/>
    <col min="6" max="6" width="40.125" style="16" customWidth="1"/>
    <col min="7" max="7" width="11.625" style="1" customWidth="1"/>
    <col min="8" max="8" width="9.125" style="1" customWidth="1"/>
    <col min="9" max="10" width="8.875" style="1" customWidth="1"/>
    <col min="11" max="11" width="10.875" style="1" customWidth="1"/>
    <col min="12" max="12" width="12.25390625" style="1" customWidth="1"/>
    <col min="13" max="14" width="22.625" style="1" customWidth="1"/>
  </cols>
  <sheetData>
    <row r="1" spans="6:8" ht="24" customHeight="1">
      <c r="F1" s="15"/>
      <c r="G1" s="7"/>
      <c r="H1"/>
    </row>
    <row r="3" spans="1:14" s="33" customFormat="1" ht="24" customHeight="1">
      <c r="A3" s="31"/>
      <c r="B3" s="31"/>
      <c r="C3" s="31"/>
      <c r="D3" s="31"/>
      <c r="E3" s="31"/>
      <c r="F3" s="71" t="s">
        <v>0</v>
      </c>
      <c r="G3" s="32"/>
      <c r="H3" s="32"/>
      <c r="I3" s="32"/>
      <c r="J3" s="32"/>
      <c r="K3" s="32"/>
      <c r="L3" s="32"/>
      <c r="M3" s="32"/>
      <c r="N3" s="32"/>
    </row>
    <row r="4" spans="1:6" ht="24" customHeight="1">
      <c r="A4" s="18"/>
      <c r="B4" s="18"/>
      <c r="C4" s="18"/>
      <c r="D4" s="18"/>
      <c r="E4" s="18"/>
      <c r="F4" s="72" t="s">
        <v>58</v>
      </c>
    </row>
    <row r="5" spans="1:6" ht="24" customHeight="1">
      <c r="A5" s="18"/>
      <c r="B5" s="18"/>
      <c r="C5" s="18"/>
      <c r="D5" s="18"/>
      <c r="E5" s="18"/>
      <c r="F5" s="19"/>
    </row>
    <row r="6" spans="1:14" s="3" customFormat="1" ht="24" customHeight="1">
      <c r="A6" s="20"/>
      <c r="B6" s="20"/>
      <c r="C6" s="20"/>
      <c r="D6" s="20"/>
      <c r="E6" s="20"/>
      <c r="F6" s="175" t="s">
        <v>241</v>
      </c>
      <c r="G6" s="1"/>
      <c r="H6" s="1"/>
      <c r="I6" s="1"/>
      <c r="J6" s="1"/>
      <c r="K6" s="1"/>
      <c r="L6" s="1"/>
      <c r="M6" s="2"/>
      <c r="N6" s="2"/>
    </row>
    <row r="7" spans="1:14" s="3" customFormat="1" ht="24" customHeight="1">
      <c r="A7" s="20"/>
      <c r="B7" s="20"/>
      <c r="C7" s="20"/>
      <c r="D7" s="20"/>
      <c r="E7" s="20"/>
      <c r="F7" s="21"/>
      <c r="G7" s="1"/>
      <c r="H7" s="1"/>
      <c r="I7" s="1"/>
      <c r="J7" s="1"/>
      <c r="K7" s="1"/>
      <c r="L7" s="1"/>
      <c r="M7" s="2"/>
      <c r="N7" s="2"/>
    </row>
    <row r="8" spans="1:14" s="3" customFormat="1" ht="24" customHeight="1">
      <c r="A8" s="20"/>
      <c r="B8" s="20"/>
      <c r="C8" s="20"/>
      <c r="D8" s="20"/>
      <c r="E8" s="20"/>
      <c r="F8" s="21"/>
      <c r="G8" s="1"/>
      <c r="H8" s="1"/>
      <c r="I8" s="1"/>
      <c r="J8" s="1"/>
      <c r="K8" s="1"/>
      <c r="L8" s="1"/>
      <c r="M8" s="2"/>
      <c r="N8" s="2"/>
    </row>
    <row r="9" spans="1:14" s="3" customFormat="1" ht="24" customHeight="1">
      <c r="A9" s="20"/>
      <c r="B9" s="20"/>
      <c r="C9" s="20"/>
      <c r="D9" s="20"/>
      <c r="E9" s="20"/>
      <c r="F9" s="21"/>
      <c r="G9" s="1"/>
      <c r="H9" s="1"/>
      <c r="I9" s="1"/>
      <c r="J9" s="1"/>
      <c r="K9" s="1"/>
      <c r="L9" s="1"/>
      <c r="M9" s="2"/>
      <c r="N9" s="2"/>
    </row>
    <row r="10" spans="1:14" s="3" customFormat="1" ht="24" customHeight="1">
      <c r="A10" s="20"/>
      <c r="B10" s="20"/>
      <c r="C10" s="20"/>
      <c r="D10" s="20"/>
      <c r="E10" s="20"/>
      <c r="F10" s="21"/>
      <c r="G10" s="1"/>
      <c r="H10" s="1"/>
      <c r="I10" s="1"/>
      <c r="J10" s="1"/>
      <c r="K10" s="1"/>
      <c r="L10" s="1"/>
      <c r="M10" s="2"/>
      <c r="N10" s="2"/>
    </row>
    <row r="11" spans="1:14" s="3" customFormat="1" ht="24" customHeight="1">
      <c r="A11" s="20"/>
      <c r="B11" s="20"/>
      <c r="C11" s="20"/>
      <c r="D11" s="20"/>
      <c r="E11" s="20"/>
      <c r="F11" s="21"/>
      <c r="G11" s="1"/>
      <c r="H11" s="1"/>
      <c r="I11" s="1"/>
      <c r="J11" s="1"/>
      <c r="K11" s="1"/>
      <c r="L11" s="1"/>
      <c r="M11" s="2"/>
      <c r="N11" s="2"/>
    </row>
    <row r="12" spans="1:14" s="5" customFormat="1" ht="24" customHeight="1">
      <c r="A12" s="22"/>
      <c r="B12" s="22"/>
      <c r="C12" s="22"/>
      <c r="D12" s="22"/>
      <c r="E12" s="22"/>
      <c r="F12" s="19"/>
      <c r="G12" s="1"/>
      <c r="H12" s="1"/>
      <c r="I12" s="1"/>
      <c r="J12" s="1"/>
      <c r="K12" s="1"/>
      <c r="L12" s="1"/>
      <c r="M12" s="4"/>
      <c r="N12" s="4"/>
    </row>
    <row r="13" spans="1:14" s="5" customFormat="1" ht="24" customHeight="1">
      <c r="A13" s="22"/>
      <c r="B13" s="22"/>
      <c r="C13" s="22"/>
      <c r="D13" s="22"/>
      <c r="E13" s="22"/>
      <c r="F13" s="19"/>
      <c r="G13" s="1"/>
      <c r="H13" s="1"/>
      <c r="I13" s="1"/>
      <c r="J13" s="1"/>
      <c r="K13" s="1"/>
      <c r="L13" s="1"/>
      <c r="M13" s="4"/>
      <c r="N13" s="4"/>
    </row>
    <row r="14" spans="1:14" s="5" customFormat="1" ht="24" customHeight="1">
      <c r="A14" s="22"/>
      <c r="B14" s="22"/>
      <c r="C14" s="22"/>
      <c r="D14" s="22"/>
      <c r="E14" s="22"/>
      <c r="F14" s="23" t="s">
        <v>1</v>
      </c>
      <c r="G14" s="14"/>
      <c r="H14" s="14"/>
      <c r="I14" s="14"/>
      <c r="J14" s="1"/>
      <c r="K14" s="1"/>
      <c r="L14" s="1"/>
      <c r="M14" s="4"/>
      <c r="N14" s="4"/>
    </row>
    <row r="15" spans="1:14" s="5" customFormat="1" ht="24" customHeight="1">
      <c r="A15" s="22"/>
      <c r="B15" s="22"/>
      <c r="C15" s="22"/>
      <c r="D15" s="22"/>
      <c r="E15" s="22"/>
      <c r="F15" s="23" t="s">
        <v>2</v>
      </c>
      <c r="G15" s="14"/>
      <c r="H15" s="14"/>
      <c r="I15" s="14"/>
      <c r="J15" s="1"/>
      <c r="K15" s="1"/>
      <c r="L15" s="1"/>
      <c r="M15" s="4"/>
      <c r="N15" s="4"/>
    </row>
    <row r="16" spans="1:14" s="5" customFormat="1" ht="24" customHeight="1">
      <c r="A16" s="22"/>
      <c r="B16" s="22"/>
      <c r="C16" s="22"/>
      <c r="D16" s="22"/>
      <c r="E16" s="22"/>
      <c r="F16" s="19"/>
      <c r="G16" s="1"/>
      <c r="H16" s="1"/>
      <c r="I16" s="1"/>
      <c r="J16" s="1"/>
      <c r="K16" s="1"/>
      <c r="L16" s="1"/>
      <c r="M16" s="4"/>
      <c r="N16" s="4"/>
    </row>
    <row r="17" spans="1:14" s="5" customFormat="1" ht="24" customHeight="1">
      <c r="A17" s="22"/>
      <c r="B17" s="22"/>
      <c r="C17" s="22"/>
      <c r="D17" s="22"/>
      <c r="E17" s="22"/>
      <c r="F17" s="19" t="s">
        <v>242</v>
      </c>
      <c r="G17" s="1"/>
      <c r="H17" s="1"/>
      <c r="I17" s="1"/>
      <c r="J17" s="1"/>
      <c r="K17" s="1"/>
      <c r="L17" s="1"/>
      <c r="M17" s="4"/>
      <c r="N17" s="4"/>
    </row>
    <row r="18" spans="1:14" s="5" customFormat="1" ht="24" customHeight="1">
      <c r="A18" s="22"/>
      <c r="B18" s="22"/>
      <c r="C18" s="22"/>
      <c r="D18" s="22"/>
      <c r="E18" s="22"/>
      <c r="F18" s="24"/>
      <c r="G18"/>
      <c r="H18"/>
      <c r="I18"/>
      <c r="J18" s="1"/>
      <c r="K18" s="1"/>
      <c r="L18" s="1"/>
      <c r="M18" s="4"/>
      <c r="N18" s="4"/>
    </row>
    <row r="19" spans="6:14" s="5" customFormat="1" ht="24" customHeight="1">
      <c r="F19" s="16" t="s">
        <v>3</v>
      </c>
      <c r="G19" s="1"/>
      <c r="H19" s="1"/>
      <c r="I19" s="1"/>
      <c r="J19" s="1"/>
      <c r="K19" s="1"/>
      <c r="L19" s="1"/>
      <c r="M19" s="4"/>
      <c r="N19" s="4"/>
    </row>
    <row r="20" spans="6:14" s="5" customFormat="1" ht="24" customHeight="1">
      <c r="F20" s="17"/>
      <c r="G20" s="1"/>
      <c r="H20" s="1"/>
      <c r="I20" s="1"/>
      <c r="J20" s="1"/>
      <c r="K20" s="1"/>
      <c r="L20" s="1"/>
      <c r="M20" s="4"/>
      <c r="N20" s="4"/>
    </row>
    <row r="21" spans="6:14" s="5" customFormat="1" ht="24" customHeight="1">
      <c r="F21" s="16"/>
      <c r="G21" s="1"/>
      <c r="H21" s="1"/>
      <c r="I21" s="1"/>
      <c r="J21" s="1"/>
      <c r="K21" s="1"/>
      <c r="L21" s="1"/>
      <c r="M21" s="4"/>
      <c r="N21" s="4"/>
    </row>
    <row r="22" spans="6:14" s="5" customFormat="1" ht="24" customHeight="1">
      <c r="F22" s="16"/>
      <c r="G22" s="1"/>
      <c r="H22" s="1"/>
      <c r="I22" s="1"/>
      <c r="J22" s="1"/>
      <c r="K22" s="1"/>
      <c r="L22" s="1"/>
      <c r="M22" s="4"/>
      <c r="N22" s="4"/>
    </row>
    <row r="23" spans="6:14" s="5" customFormat="1" ht="24" customHeight="1">
      <c r="F23" s="16"/>
      <c r="G23" s="1"/>
      <c r="H23" s="1"/>
      <c r="I23" s="1"/>
      <c r="J23" s="1"/>
      <c r="K23" s="1"/>
      <c r="L23" s="1"/>
      <c r="M23" s="4"/>
      <c r="N23" s="4"/>
    </row>
    <row r="24" spans="6:14" s="5" customFormat="1" ht="24" customHeight="1">
      <c r="F24" s="16"/>
      <c r="G24" s="1"/>
      <c r="H24" s="1"/>
      <c r="I24" s="1"/>
      <c r="J24" s="1"/>
      <c r="K24" s="1"/>
      <c r="L24" s="1"/>
      <c r="M24" s="4"/>
      <c r="N24" s="4"/>
    </row>
    <row r="41" spans="15:22" ht="24" customHeight="1">
      <c r="O41" s="1"/>
      <c r="P41" s="1"/>
      <c r="Q41" s="1"/>
      <c r="R41" s="1"/>
      <c r="S41" s="1"/>
      <c r="T41" s="1"/>
      <c r="U41" s="1"/>
      <c r="V41" s="1"/>
    </row>
    <row r="42" spans="15:22" ht="24" customHeight="1">
      <c r="O42" s="1"/>
      <c r="P42" s="1"/>
      <c r="Q42" s="1"/>
      <c r="R42" s="1"/>
      <c r="S42" s="1"/>
      <c r="T42" s="1"/>
      <c r="U42" s="1"/>
      <c r="V42" s="1"/>
    </row>
    <row r="43" spans="15:22" ht="24" customHeight="1">
      <c r="O43" s="1"/>
      <c r="P43" s="1"/>
      <c r="Q43" s="1"/>
      <c r="R43" s="1"/>
      <c r="S43" s="1"/>
      <c r="T43" s="1"/>
      <c r="U43" s="1"/>
      <c r="V43" s="1"/>
    </row>
    <row r="44" spans="15:22" ht="24" customHeight="1">
      <c r="O44" s="1"/>
      <c r="P44" s="1"/>
      <c r="Q44" s="1"/>
      <c r="R44" s="1"/>
      <c r="S44" s="1"/>
      <c r="T44" s="1"/>
      <c r="U44" s="1"/>
      <c r="V44" s="1"/>
    </row>
    <row r="45" spans="15:22" ht="24" customHeight="1">
      <c r="O45" s="1"/>
      <c r="P45" s="1"/>
      <c r="Q45" s="1"/>
      <c r="R45" s="1"/>
      <c r="S45" s="1"/>
      <c r="T45" s="1"/>
      <c r="U45" s="1"/>
      <c r="V45" s="1"/>
    </row>
    <row r="46" spans="15:22" ht="24" customHeight="1">
      <c r="O46" s="1"/>
      <c r="P46" s="1"/>
      <c r="Q46" s="1"/>
      <c r="R46" s="1"/>
      <c r="S46" s="1"/>
      <c r="T46" s="1"/>
      <c r="U46" s="1"/>
      <c r="V46" s="1"/>
    </row>
    <row r="47" spans="15:22" ht="24" customHeight="1">
      <c r="O47" s="1"/>
      <c r="P47" s="1"/>
      <c r="Q47" s="1"/>
      <c r="R47" s="1"/>
      <c r="S47" s="1"/>
      <c r="T47" s="1"/>
      <c r="U47" s="1"/>
      <c r="V47" s="1"/>
    </row>
    <row r="48" spans="15:22" ht="24" customHeight="1">
      <c r="O48" s="1"/>
      <c r="P48" s="1"/>
      <c r="Q48" s="1"/>
      <c r="R48" s="1"/>
      <c r="S48" s="1"/>
      <c r="T48" s="1"/>
      <c r="U48" s="1"/>
      <c r="V48" s="1"/>
    </row>
    <row r="49" spans="15:22" ht="24" customHeight="1">
      <c r="O49" s="1"/>
      <c r="P49" s="1"/>
      <c r="Q49" s="1"/>
      <c r="R49" s="1"/>
      <c r="S49" s="1"/>
      <c r="T49" s="1"/>
      <c r="U49" s="1"/>
      <c r="V49" s="1"/>
    </row>
    <row r="50" spans="15:22" ht="24" customHeight="1">
      <c r="O50" s="1"/>
      <c r="P50" s="1"/>
      <c r="Q50" s="1"/>
      <c r="R50" s="1"/>
      <c r="S50" s="1"/>
      <c r="T50" s="1"/>
      <c r="U50" s="1"/>
      <c r="V50" s="1"/>
    </row>
    <row r="51" spans="15:22" ht="24" customHeight="1">
      <c r="O51" s="1"/>
      <c r="P51" s="1"/>
      <c r="Q51" s="1"/>
      <c r="R51" s="1"/>
      <c r="S51" s="1"/>
      <c r="T51" s="1"/>
      <c r="U51" s="1"/>
      <c r="V51" s="1"/>
    </row>
    <row r="52" spans="15:22" ht="24" customHeight="1">
      <c r="O52" s="1"/>
      <c r="P52" s="1"/>
      <c r="Q52" s="1"/>
      <c r="R52" s="1"/>
      <c r="S52" s="1"/>
      <c r="T52" s="1"/>
      <c r="U52" s="1"/>
      <c r="V52" s="1"/>
    </row>
    <row r="53" spans="15:22" ht="24" customHeight="1">
      <c r="O53" s="1"/>
      <c r="P53" s="1"/>
      <c r="Q53" s="1"/>
      <c r="R53" s="1"/>
      <c r="S53" s="1"/>
      <c r="T53" s="1"/>
      <c r="U53" s="1"/>
      <c r="V53" s="1"/>
    </row>
    <row r="54" spans="15:22" ht="24" customHeight="1">
      <c r="O54" s="1"/>
      <c r="P54" s="1"/>
      <c r="Q54" s="1"/>
      <c r="R54" s="1"/>
      <c r="S54" s="1"/>
      <c r="T54" s="1"/>
      <c r="U54" s="1"/>
      <c r="V54" s="1"/>
    </row>
  </sheetData>
  <sheetProtection/>
  <printOptions/>
  <pageMargins left="0" right="0" top="1.3779527559055118" bottom="1.1023622047244095" header="0.984251968503937" footer="0.787401574803149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R64"/>
  <sheetViews>
    <sheetView zoomScale="140" zoomScaleNormal="140" zoomScalePageLayoutView="0" workbookViewId="0" topLeftCell="A1">
      <pane xSplit="1" ySplit="5" topLeftCell="U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C61" sqref="AC61"/>
    </sheetView>
  </sheetViews>
  <sheetFormatPr defaultColWidth="9.00390625" defaultRowHeight="36" customHeight="1"/>
  <cols>
    <col min="1" max="1" width="10.00390625" style="65" customWidth="1"/>
    <col min="2" max="2" width="8.875" style="65" customWidth="1"/>
    <col min="3" max="3" width="7.50390625" style="65" customWidth="1"/>
    <col min="4" max="4" width="8.875" style="65" customWidth="1"/>
    <col min="5" max="5" width="6.875" style="65" customWidth="1"/>
    <col min="6" max="6" width="8.875" style="65" customWidth="1"/>
    <col min="7" max="7" width="6.50390625" style="65" customWidth="1"/>
    <col min="8" max="8" width="8.625" style="65" customWidth="1"/>
    <col min="9" max="9" width="6.625" style="65" customWidth="1"/>
    <col min="10" max="10" width="7.25390625" style="65" customWidth="1"/>
    <col min="11" max="11" width="6.25390625" style="65" customWidth="1"/>
    <col min="12" max="12" width="6.50390625" style="65" customWidth="1"/>
    <col min="13" max="13" width="6.25390625" style="65" customWidth="1"/>
    <col min="14" max="14" width="7.375" style="65" customWidth="1"/>
    <col min="15" max="15" width="6.375" style="65" customWidth="1"/>
    <col min="16" max="16" width="7.125" style="65" customWidth="1"/>
    <col min="17" max="17" width="6.375" style="65" customWidth="1"/>
    <col min="18" max="18" width="6.875" style="65" customWidth="1"/>
    <col min="19" max="19" width="6.375" style="65" customWidth="1"/>
    <col min="20" max="20" width="7.00390625" style="65" customWidth="1"/>
    <col min="21" max="21" width="6.125" style="65" customWidth="1"/>
    <col min="22" max="22" width="7.375" style="65" customWidth="1"/>
    <col min="23" max="23" width="6.375" style="65" customWidth="1"/>
    <col min="24" max="24" width="7.125" style="65" customWidth="1"/>
    <col min="25" max="25" width="6.25390625" style="65" customWidth="1"/>
    <col min="26" max="26" width="7.875" style="65" customWidth="1"/>
    <col min="27" max="27" width="6.125" style="65" customWidth="1"/>
    <col min="28" max="28" width="7.00390625" style="65" customWidth="1"/>
    <col min="29" max="29" width="6.75390625" style="65" customWidth="1"/>
    <col min="30" max="30" width="6.875" style="65" customWidth="1"/>
    <col min="31" max="31" width="6.25390625" style="65" customWidth="1"/>
    <col min="32" max="32" width="7.25390625" style="65" customWidth="1"/>
    <col min="33" max="33" width="6.125" style="65" customWidth="1"/>
    <col min="34" max="16384" width="9.00390625" style="11" customWidth="1"/>
  </cols>
  <sheetData>
    <row r="1" spans="1:44" ht="18" customHeight="1">
      <c r="A1" s="219" t="s">
        <v>152</v>
      </c>
      <c r="B1" s="44"/>
      <c r="C1" s="44"/>
      <c r="D1" s="43"/>
      <c r="E1" s="50"/>
      <c r="F1" s="50"/>
      <c r="G1" s="50"/>
      <c r="H1" s="51"/>
      <c r="I1" s="51"/>
      <c r="J1" s="52"/>
      <c r="K1" s="52"/>
      <c r="L1" s="52"/>
      <c r="M1" s="52"/>
      <c r="N1" s="51"/>
      <c r="O1" s="51"/>
      <c r="P1" s="52"/>
      <c r="Q1" s="52"/>
      <c r="R1" s="219" t="s">
        <v>157</v>
      </c>
      <c r="S1" s="51"/>
      <c r="T1" s="52"/>
      <c r="U1" s="52"/>
      <c r="V1" s="52"/>
      <c r="W1" s="52"/>
      <c r="X1" s="52"/>
      <c r="Y1" s="52"/>
      <c r="Z1" s="52"/>
      <c r="AA1" s="43"/>
      <c r="AB1" s="43"/>
      <c r="AC1" s="43"/>
      <c r="AD1" s="52"/>
      <c r="AE1" s="52"/>
      <c r="AF1" s="52"/>
      <c r="AG1" s="52"/>
      <c r="AH1" s="27"/>
      <c r="AI1" s="12"/>
      <c r="AJ1" s="12"/>
      <c r="AK1" s="12"/>
      <c r="AL1" s="12"/>
      <c r="AM1" s="12"/>
      <c r="AN1" s="12"/>
      <c r="AO1" s="12"/>
      <c r="AP1" s="12"/>
      <c r="AQ1" s="12"/>
      <c r="AR1" s="12"/>
    </row>
    <row r="2" spans="1:34" ht="16.5">
      <c r="A2" s="50"/>
      <c r="B2" s="50"/>
      <c r="C2" s="50"/>
      <c r="D2" s="50"/>
      <c r="E2" s="50"/>
      <c r="F2" s="50"/>
      <c r="G2" s="50"/>
      <c r="H2" s="52"/>
      <c r="I2" s="52"/>
      <c r="J2" s="52"/>
      <c r="K2" s="52"/>
      <c r="L2" s="52"/>
      <c r="M2" s="52"/>
      <c r="N2" s="52"/>
      <c r="O2" s="52"/>
      <c r="P2" s="52"/>
      <c r="Q2" s="69" t="s">
        <v>85</v>
      </c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90" t="s">
        <v>67</v>
      </c>
      <c r="AD2"/>
      <c r="AE2" s="52"/>
      <c r="AF2" s="43"/>
      <c r="AG2" s="69" t="s">
        <v>85</v>
      </c>
      <c r="AH2" s="27"/>
    </row>
    <row r="3" spans="1:34" ht="15.75" customHeight="1">
      <c r="A3" s="53"/>
      <c r="B3" s="474" t="s">
        <v>52</v>
      </c>
      <c r="C3" s="406"/>
      <c r="D3" s="475" t="s">
        <v>63</v>
      </c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7"/>
      <c r="R3" s="465" t="s">
        <v>86</v>
      </c>
      <c r="S3" s="466"/>
      <c r="T3" s="466"/>
      <c r="U3" s="467"/>
      <c r="V3" s="475" t="s">
        <v>41</v>
      </c>
      <c r="W3" s="466"/>
      <c r="X3" s="466"/>
      <c r="Y3" s="466"/>
      <c r="Z3" s="466"/>
      <c r="AA3" s="467"/>
      <c r="AB3" s="475" t="s">
        <v>66</v>
      </c>
      <c r="AC3" s="476"/>
      <c r="AD3" s="476"/>
      <c r="AE3" s="476"/>
      <c r="AF3" s="476"/>
      <c r="AG3" s="477"/>
      <c r="AH3" s="27"/>
    </row>
    <row r="4" spans="1:34" ht="15.75" customHeight="1">
      <c r="A4" s="54" t="s">
        <v>68</v>
      </c>
      <c r="B4" s="407"/>
      <c r="C4" s="409"/>
      <c r="D4" s="56" t="s">
        <v>42</v>
      </c>
      <c r="E4" s="57"/>
      <c r="F4" s="56" t="s">
        <v>43</v>
      </c>
      <c r="G4" s="57"/>
      <c r="H4" s="56" t="s">
        <v>44</v>
      </c>
      <c r="I4" s="57"/>
      <c r="J4" s="56" t="s">
        <v>45</v>
      </c>
      <c r="K4" s="57"/>
      <c r="L4" s="58" t="s">
        <v>61</v>
      </c>
      <c r="M4" s="58"/>
      <c r="N4" s="475" t="s">
        <v>53</v>
      </c>
      <c r="O4" s="477"/>
      <c r="P4" s="59" t="s">
        <v>46</v>
      </c>
      <c r="Q4" s="59"/>
      <c r="R4" s="59" t="s">
        <v>49</v>
      </c>
      <c r="S4" s="59"/>
      <c r="T4" s="59" t="s">
        <v>50</v>
      </c>
      <c r="U4" s="59"/>
      <c r="V4" s="59" t="s">
        <v>42</v>
      </c>
      <c r="W4" s="59"/>
      <c r="X4" s="59" t="s">
        <v>47</v>
      </c>
      <c r="Y4" s="59"/>
      <c r="Z4" s="59" t="s">
        <v>48</v>
      </c>
      <c r="AA4" s="59"/>
      <c r="AB4" s="56" t="s">
        <v>65</v>
      </c>
      <c r="AC4" s="56"/>
      <c r="AD4" s="475" t="s">
        <v>62</v>
      </c>
      <c r="AE4" s="477"/>
      <c r="AF4" s="475" t="s">
        <v>64</v>
      </c>
      <c r="AG4" s="477"/>
      <c r="AH4" s="28"/>
    </row>
    <row r="5" spans="1:34" ht="15.75" customHeight="1">
      <c r="A5" s="60"/>
      <c r="B5" s="55" t="s">
        <v>51</v>
      </c>
      <c r="C5" s="55" t="s">
        <v>57</v>
      </c>
      <c r="D5" s="60" t="s">
        <v>51</v>
      </c>
      <c r="E5" s="55" t="s">
        <v>75</v>
      </c>
      <c r="F5" s="60" t="s">
        <v>51</v>
      </c>
      <c r="G5" s="55" t="s">
        <v>75</v>
      </c>
      <c r="H5" s="60" t="s">
        <v>51</v>
      </c>
      <c r="I5" s="55" t="s">
        <v>57</v>
      </c>
      <c r="J5" s="61" t="s">
        <v>51</v>
      </c>
      <c r="K5" s="55" t="s">
        <v>57</v>
      </c>
      <c r="L5" s="61" t="s">
        <v>51</v>
      </c>
      <c r="M5" s="55" t="s">
        <v>57</v>
      </c>
      <c r="N5" s="60" t="s">
        <v>51</v>
      </c>
      <c r="O5" s="55" t="s">
        <v>57</v>
      </c>
      <c r="P5" s="60" t="s">
        <v>51</v>
      </c>
      <c r="Q5" s="55" t="s">
        <v>57</v>
      </c>
      <c r="R5" s="60" t="s">
        <v>51</v>
      </c>
      <c r="S5" s="55" t="s">
        <v>75</v>
      </c>
      <c r="T5" s="60" t="s">
        <v>51</v>
      </c>
      <c r="U5" s="55" t="s">
        <v>75</v>
      </c>
      <c r="V5" s="60" t="s">
        <v>51</v>
      </c>
      <c r="W5" s="55" t="s">
        <v>57</v>
      </c>
      <c r="X5" s="60" t="s">
        <v>51</v>
      </c>
      <c r="Y5" s="55" t="s">
        <v>75</v>
      </c>
      <c r="Z5" s="60" t="s">
        <v>51</v>
      </c>
      <c r="AA5" s="55" t="s">
        <v>75</v>
      </c>
      <c r="AB5" s="60" t="s">
        <v>51</v>
      </c>
      <c r="AC5" s="55" t="s">
        <v>57</v>
      </c>
      <c r="AD5" s="60" t="s">
        <v>51</v>
      </c>
      <c r="AE5" s="55" t="s">
        <v>57</v>
      </c>
      <c r="AF5" s="60" t="s">
        <v>51</v>
      </c>
      <c r="AG5" s="55" t="s">
        <v>57</v>
      </c>
      <c r="AH5" s="28"/>
    </row>
    <row r="6" spans="1:34" ht="15.75" customHeight="1">
      <c r="A6" s="89" t="s">
        <v>80</v>
      </c>
      <c r="B6" s="76">
        <f>D6++V6+AB6</f>
        <v>3137049</v>
      </c>
      <c r="C6" s="76">
        <f>E6++W6+AC6</f>
        <v>39459</v>
      </c>
      <c r="D6" s="76">
        <f>F6+H6+J6+N6+P6+L6+R6+T6</f>
        <v>3086883</v>
      </c>
      <c r="E6" s="76">
        <f>G6+I6+K6+O6+Q6+M6+S6+U6</f>
        <v>38304</v>
      </c>
      <c r="F6" s="76">
        <v>1886183</v>
      </c>
      <c r="G6" s="76">
        <v>8499</v>
      </c>
      <c r="H6" s="76">
        <v>971908</v>
      </c>
      <c r="I6" s="76">
        <v>28307</v>
      </c>
      <c r="J6" s="76">
        <v>225792</v>
      </c>
      <c r="K6" s="76">
        <v>1263</v>
      </c>
      <c r="L6" s="76">
        <v>1328</v>
      </c>
      <c r="M6" s="76">
        <v>88</v>
      </c>
      <c r="N6" s="49">
        <v>0</v>
      </c>
      <c r="O6" s="49">
        <v>0</v>
      </c>
      <c r="P6" s="49">
        <v>0</v>
      </c>
      <c r="Q6" s="49">
        <v>0</v>
      </c>
      <c r="R6" s="75">
        <v>32</v>
      </c>
      <c r="S6" s="76">
        <v>1</v>
      </c>
      <c r="T6" s="76">
        <v>1640</v>
      </c>
      <c r="U6" s="76">
        <v>146</v>
      </c>
      <c r="V6" s="76">
        <f>+X6+Z6</f>
        <v>47888</v>
      </c>
      <c r="W6" s="76">
        <f>+Y6+AA6</f>
        <v>831</v>
      </c>
      <c r="X6" s="76">
        <v>25664</v>
      </c>
      <c r="Y6" s="76">
        <v>118</v>
      </c>
      <c r="Z6" s="76">
        <v>22224</v>
      </c>
      <c r="AA6" s="76">
        <v>713</v>
      </c>
      <c r="AB6" s="76">
        <f>AD6+AF6</f>
        <v>2278</v>
      </c>
      <c r="AC6" s="76">
        <f>AE6+AG6</f>
        <v>324</v>
      </c>
      <c r="AD6" s="76">
        <v>2017</v>
      </c>
      <c r="AE6" s="76">
        <v>296</v>
      </c>
      <c r="AF6" s="76">
        <v>261</v>
      </c>
      <c r="AG6" s="76">
        <v>28</v>
      </c>
      <c r="AH6" s="29"/>
    </row>
    <row r="7" spans="1:34" ht="15.75" customHeight="1">
      <c r="A7" s="89" t="s">
        <v>81</v>
      </c>
      <c r="B7" s="75">
        <v>3698417</v>
      </c>
      <c r="C7" s="75">
        <v>43939</v>
      </c>
      <c r="D7" s="75">
        <v>3640385</v>
      </c>
      <c r="E7" s="75">
        <v>42596</v>
      </c>
      <c r="F7" s="75">
        <v>2151654</v>
      </c>
      <c r="G7" s="75">
        <v>8773</v>
      </c>
      <c r="H7" s="75">
        <v>1244492</v>
      </c>
      <c r="I7" s="75">
        <v>32152</v>
      </c>
      <c r="J7" s="75">
        <v>239935</v>
      </c>
      <c r="K7" s="75">
        <v>1368</v>
      </c>
      <c r="L7" s="75">
        <v>1551</v>
      </c>
      <c r="M7" s="75">
        <v>90</v>
      </c>
      <c r="N7" s="49">
        <v>0</v>
      </c>
      <c r="O7" s="49">
        <v>0</v>
      </c>
      <c r="P7" s="49">
        <v>0</v>
      </c>
      <c r="Q7" s="49">
        <v>0</v>
      </c>
      <c r="R7" s="75">
        <v>-32</v>
      </c>
      <c r="S7" s="75">
        <v>1</v>
      </c>
      <c r="T7" s="75">
        <v>2785</v>
      </c>
      <c r="U7" s="75">
        <v>212</v>
      </c>
      <c r="V7" s="75">
        <v>52752</v>
      </c>
      <c r="W7" s="75">
        <v>875</v>
      </c>
      <c r="X7" s="75">
        <v>25908</v>
      </c>
      <c r="Y7" s="75">
        <v>102</v>
      </c>
      <c r="Z7" s="75">
        <v>26844</v>
      </c>
      <c r="AA7" s="75">
        <v>773</v>
      </c>
      <c r="AB7" s="75">
        <v>5280</v>
      </c>
      <c r="AC7" s="75">
        <v>468</v>
      </c>
      <c r="AD7" s="76">
        <v>3788</v>
      </c>
      <c r="AE7" s="76">
        <v>404</v>
      </c>
      <c r="AF7" s="76">
        <v>1492</v>
      </c>
      <c r="AG7" s="76">
        <v>64</v>
      </c>
      <c r="AH7" s="29"/>
    </row>
    <row r="8" spans="1:34" ht="15.75" customHeight="1">
      <c r="A8" s="89" t="s">
        <v>88</v>
      </c>
      <c r="B8" s="75">
        <v>5255692</v>
      </c>
      <c r="C8" s="75">
        <v>54246</v>
      </c>
      <c r="D8" s="75">
        <v>5187990</v>
      </c>
      <c r="E8" s="75">
        <v>52835</v>
      </c>
      <c r="F8" s="75">
        <v>3164015</v>
      </c>
      <c r="G8" s="75">
        <v>12482</v>
      </c>
      <c r="H8" s="75">
        <v>1663439</v>
      </c>
      <c r="I8" s="75">
        <v>37785</v>
      </c>
      <c r="J8" s="75">
        <v>353083</v>
      </c>
      <c r="K8" s="75">
        <v>2195</v>
      </c>
      <c r="L8" s="75">
        <v>2093</v>
      </c>
      <c r="M8" s="75">
        <v>99</v>
      </c>
      <c r="N8" s="49">
        <v>0</v>
      </c>
      <c r="O8" s="49">
        <v>0</v>
      </c>
      <c r="P8" s="49">
        <v>0</v>
      </c>
      <c r="Q8" s="49">
        <v>0</v>
      </c>
      <c r="R8" s="49">
        <v>1603</v>
      </c>
      <c r="S8" s="49">
        <v>6</v>
      </c>
      <c r="T8" s="75">
        <v>3757</v>
      </c>
      <c r="U8" s="75">
        <v>268</v>
      </c>
      <c r="V8" s="75">
        <v>61420</v>
      </c>
      <c r="W8" s="75">
        <v>928</v>
      </c>
      <c r="X8" s="75">
        <v>28374</v>
      </c>
      <c r="Y8" s="75">
        <v>99</v>
      </c>
      <c r="Z8" s="75">
        <v>33046</v>
      </c>
      <c r="AA8" s="75">
        <v>829</v>
      </c>
      <c r="AB8" s="75">
        <v>6282</v>
      </c>
      <c r="AC8" s="75">
        <v>483</v>
      </c>
      <c r="AD8" s="76">
        <v>4678</v>
      </c>
      <c r="AE8" s="76">
        <v>441</v>
      </c>
      <c r="AF8" s="177">
        <v>1604</v>
      </c>
      <c r="AG8" s="177">
        <v>42</v>
      </c>
      <c r="AH8" s="29"/>
    </row>
    <row r="9" spans="1:34" ht="15.75" customHeight="1">
      <c r="A9" s="89" t="s">
        <v>93</v>
      </c>
      <c r="B9" s="75">
        <v>5102210</v>
      </c>
      <c r="C9" s="75">
        <v>61639</v>
      </c>
      <c r="D9" s="75">
        <v>5015833</v>
      </c>
      <c r="E9" s="75">
        <v>59411</v>
      </c>
      <c r="F9" s="75">
        <v>3322341</v>
      </c>
      <c r="G9" s="75">
        <v>13263</v>
      </c>
      <c r="H9" s="75">
        <v>1206436</v>
      </c>
      <c r="I9" s="75">
        <v>42287</v>
      </c>
      <c r="J9" s="75">
        <v>482296</v>
      </c>
      <c r="K9" s="75">
        <v>3416</v>
      </c>
      <c r="L9" s="75">
        <v>1362</v>
      </c>
      <c r="M9" s="75">
        <v>107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75">
        <v>3398</v>
      </c>
      <c r="U9" s="75">
        <v>338</v>
      </c>
      <c r="V9" s="75">
        <v>79664</v>
      </c>
      <c r="W9" s="75">
        <v>1798</v>
      </c>
      <c r="X9" s="75">
        <v>38898</v>
      </c>
      <c r="Y9" s="75">
        <v>124</v>
      </c>
      <c r="Z9" s="75">
        <v>40766</v>
      </c>
      <c r="AA9" s="75">
        <v>1674</v>
      </c>
      <c r="AB9" s="75">
        <v>6713</v>
      </c>
      <c r="AC9" s="75">
        <v>430</v>
      </c>
      <c r="AD9" s="76">
        <v>4248</v>
      </c>
      <c r="AE9" s="76">
        <v>370</v>
      </c>
      <c r="AF9" s="76">
        <v>2465</v>
      </c>
      <c r="AG9" s="76">
        <v>60</v>
      </c>
      <c r="AH9" s="29"/>
    </row>
    <row r="10" spans="1:34" ht="15.75" customHeight="1">
      <c r="A10" s="89" t="s">
        <v>136</v>
      </c>
      <c r="B10" s="75">
        <v>6375814</v>
      </c>
      <c r="C10" s="75">
        <v>63179</v>
      </c>
      <c r="D10" s="75">
        <v>6280942</v>
      </c>
      <c r="E10" s="75">
        <v>61681</v>
      </c>
      <c r="F10" s="75">
        <v>3020283</v>
      </c>
      <c r="G10" s="75">
        <v>8923</v>
      </c>
      <c r="H10" s="75">
        <v>2726486</v>
      </c>
      <c r="I10" s="75">
        <v>49147</v>
      </c>
      <c r="J10" s="75">
        <v>523880</v>
      </c>
      <c r="K10" s="75">
        <v>3097</v>
      </c>
      <c r="L10" s="75">
        <v>3364</v>
      </c>
      <c r="M10" s="75">
        <v>118</v>
      </c>
      <c r="N10" s="49">
        <v>0</v>
      </c>
      <c r="O10" s="49">
        <v>0</v>
      </c>
      <c r="P10" s="49">
        <v>0</v>
      </c>
      <c r="Q10" s="49">
        <v>0</v>
      </c>
      <c r="R10" s="75">
        <v>185</v>
      </c>
      <c r="S10" s="75">
        <v>6</v>
      </c>
      <c r="T10" s="75">
        <v>6744</v>
      </c>
      <c r="U10" s="75">
        <v>390</v>
      </c>
      <c r="V10" s="75">
        <v>87564</v>
      </c>
      <c r="W10" s="75">
        <v>1088</v>
      </c>
      <c r="X10" s="75">
        <v>37772</v>
      </c>
      <c r="Y10" s="75">
        <v>110</v>
      </c>
      <c r="Z10" s="75">
        <v>49792</v>
      </c>
      <c r="AA10" s="75">
        <v>978</v>
      </c>
      <c r="AB10" s="75">
        <v>7308</v>
      </c>
      <c r="AC10" s="75">
        <v>410</v>
      </c>
      <c r="AD10" s="76">
        <v>3573</v>
      </c>
      <c r="AE10" s="76">
        <v>332</v>
      </c>
      <c r="AF10" s="76">
        <v>3735</v>
      </c>
      <c r="AG10" s="76">
        <v>78</v>
      </c>
      <c r="AH10" s="29"/>
    </row>
    <row r="11" spans="1:34" ht="15.75" customHeight="1">
      <c r="A11" s="89" t="s">
        <v>138</v>
      </c>
      <c r="B11" s="75">
        <v>6241844</v>
      </c>
      <c r="C11" s="75">
        <v>66333</v>
      </c>
      <c r="D11" s="75">
        <v>6140907</v>
      </c>
      <c r="E11" s="75">
        <v>64741</v>
      </c>
      <c r="F11" s="75">
        <v>2216246</v>
      </c>
      <c r="G11" s="75">
        <v>5442</v>
      </c>
      <c r="H11" s="75">
        <v>3434304</v>
      </c>
      <c r="I11" s="75">
        <v>55919</v>
      </c>
      <c r="J11" s="75">
        <v>476206</v>
      </c>
      <c r="K11" s="75">
        <v>2721</v>
      </c>
      <c r="L11" s="75">
        <v>4011</v>
      </c>
      <c r="M11" s="75">
        <v>131</v>
      </c>
      <c r="N11" s="49">
        <v>0</v>
      </c>
      <c r="O11" s="49">
        <v>0</v>
      </c>
      <c r="P11" s="49">
        <v>0</v>
      </c>
      <c r="Q11" s="49">
        <v>0</v>
      </c>
      <c r="R11" s="75">
        <v>97</v>
      </c>
      <c r="S11" s="75">
        <v>3</v>
      </c>
      <c r="T11" s="75">
        <v>10043</v>
      </c>
      <c r="U11" s="75">
        <v>525</v>
      </c>
      <c r="V11" s="75">
        <v>94515</v>
      </c>
      <c r="W11" s="75">
        <v>1185</v>
      </c>
      <c r="X11" s="75">
        <v>38942</v>
      </c>
      <c r="Y11" s="75">
        <v>120</v>
      </c>
      <c r="Z11" s="75">
        <v>55573</v>
      </c>
      <c r="AA11" s="75">
        <v>1065</v>
      </c>
      <c r="AB11" s="75">
        <v>6422</v>
      </c>
      <c r="AC11" s="75">
        <v>407</v>
      </c>
      <c r="AD11" s="76">
        <v>2853</v>
      </c>
      <c r="AE11" s="76">
        <v>346</v>
      </c>
      <c r="AF11" s="76">
        <v>3569</v>
      </c>
      <c r="AG11" s="76">
        <v>61</v>
      </c>
      <c r="AH11" s="29"/>
    </row>
    <row r="12" spans="1:34" ht="15.75" customHeight="1">
      <c r="A12" s="89" t="s">
        <v>139</v>
      </c>
      <c r="B12" s="209">
        <f>D12++V12+AB12</f>
        <v>6596168</v>
      </c>
      <c r="C12" s="209">
        <f>E12++W12+AC12</f>
        <v>75190</v>
      </c>
      <c r="D12" s="209">
        <f>F12+H12+J12+N12+P12+L12+R12+T12</f>
        <v>6481221</v>
      </c>
      <c r="E12" s="209">
        <f>G12+I12+K12+O12+Q12+M12+S12+U12</f>
        <v>73012</v>
      </c>
      <c r="F12" s="209">
        <v>1864312</v>
      </c>
      <c r="G12" s="209">
        <v>7241</v>
      </c>
      <c r="H12" s="209">
        <v>4159172</v>
      </c>
      <c r="I12" s="209">
        <v>62440</v>
      </c>
      <c r="J12" s="209">
        <v>438755</v>
      </c>
      <c r="K12" s="209">
        <v>2527</v>
      </c>
      <c r="L12" s="209">
        <v>4187</v>
      </c>
      <c r="M12" s="209">
        <v>134</v>
      </c>
      <c r="N12" s="211">
        <v>0</v>
      </c>
      <c r="O12" s="211">
        <v>0</v>
      </c>
      <c r="P12" s="211">
        <v>0</v>
      </c>
      <c r="Q12" s="211">
        <v>0</v>
      </c>
      <c r="R12" s="209">
        <v>408</v>
      </c>
      <c r="S12" s="209">
        <v>7</v>
      </c>
      <c r="T12" s="209">
        <v>14387</v>
      </c>
      <c r="U12" s="209">
        <v>663</v>
      </c>
      <c r="V12" s="209">
        <f>X12+Z12</f>
        <v>106050</v>
      </c>
      <c r="W12" s="209">
        <f>+Y12+AA12</f>
        <v>1373</v>
      </c>
      <c r="X12" s="209">
        <v>42130</v>
      </c>
      <c r="Y12" s="209">
        <v>114</v>
      </c>
      <c r="Z12" s="209">
        <v>63920</v>
      </c>
      <c r="AA12" s="209">
        <v>1259</v>
      </c>
      <c r="AB12" s="209">
        <f>AD12+AF12</f>
        <v>8897</v>
      </c>
      <c r="AC12" s="209">
        <f>AE12+AG12</f>
        <v>805</v>
      </c>
      <c r="AD12" s="210">
        <v>5992</v>
      </c>
      <c r="AE12" s="210">
        <v>741</v>
      </c>
      <c r="AF12" s="210">
        <v>2905</v>
      </c>
      <c r="AG12" s="210">
        <v>64</v>
      </c>
      <c r="AH12" s="29"/>
    </row>
    <row r="13" spans="1:34" ht="15.75" customHeight="1">
      <c r="A13" s="89" t="s">
        <v>144</v>
      </c>
      <c r="B13" s="209">
        <v>6365157</v>
      </c>
      <c r="C13" s="209">
        <v>75656</v>
      </c>
      <c r="D13" s="209">
        <v>6243275</v>
      </c>
      <c r="E13" s="209">
        <v>73207</v>
      </c>
      <c r="F13" s="209">
        <v>1060332</v>
      </c>
      <c r="G13" s="209">
        <v>2407</v>
      </c>
      <c r="H13" s="209">
        <v>4807946</v>
      </c>
      <c r="I13" s="209">
        <v>67813</v>
      </c>
      <c r="J13" s="209">
        <v>347791</v>
      </c>
      <c r="K13" s="209">
        <v>2063</v>
      </c>
      <c r="L13" s="209">
        <v>4903</v>
      </c>
      <c r="M13" s="209">
        <v>142</v>
      </c>
      <c r="N13" s="211">
        <v>0</v>
      </c>
      <c r="O13" s="211">
        <v>0</v>
      </c>
      <c r="P13" s="211">
        <v>0</v>
      </c>
      <c r="Q13" s="211">
        <v>0</v>
      </c>
      <c r="R13" s="209">
        <v>4710</v>
      </c>
      <c r="S13" s="209">
        <v>11</v>
      </c>
      <c r="T13" s="209">
        <v>17593</v>
      </c>
      <c r="U13" s="209">
        <v>771</v>
      </c>
      <c r="V13" s="209">
        <v>110544</v>
      </c>
      <c r="W13" s="209">
        <v>1387</v>
      </c>
      <c r="X13" s="209">
        <v>39465</v>
      </c>
      <c r="Y13" s="209">
        <v>113</v>
      </c>
      <c r="Z13" s="209">
        <v>71079</v>
      </c>
      <c r="AA13" s="209">
        <v>1274</v>
      </c>
      <c r="AB13" s="209">
        <v>11338</v>
      </c>
      <c r="AC13" s="209">
        <v>1062</v>
      </c>
      <c r="AD13" s="210">
        <v>8302</v>
      </c>
      <c r="AE13" s="210">
        <v>1010</v>
      </c>
      <c r="AF13" s="210">
        <v>3036</v>
      </c>
      <c r="AG13" s="210">
        <v>52</v>
      </c>
      <c r="AH13" s="29"/>
    </row>
    <row r="14" spans="1:34" ht="15.75" customHeight="1">
      <c r="A14" s="89" t="s">
        <v>159</v>
      </c>
      <c r="B14" s="209">
        <v>7732868</v>
      </c>
      <c r="C14" s="209">
        <v>87319</v>
      </c>
      <c r="D14" s="209">
        <v>7584739</v>
      </c>
      <c r="E14" s="209">
        <v>82218</v>
      </c>
      <c r="F14" s="209">
        <v>1548178</v>
      </c>
      <c r="G14" s="209">
        <v>4344</v>
      </c>
      <c r="H14" s="209">
        <v>5551002</v>
      </c>
      <c r="I14" s="209">
        <v>74021</v>
      </c>
      <c r="J14" s="209">
        <v>457616</v>
      </c>
      <c r="K14" s="209">
        <v>2804</v>
      </c>
      <c r="L14" s="209">
        <v>4499</v>
      </c>
      <c r="M14" s="209">
        <v>147</v>
      </c>
      <c r="N14" s="211">
        <v>0</v>
      </c>
      <c r="O14" s="211">
        <v>0</v>
      </c>
      <c r="P14" s="211">
        <v>0</v>
      </c>
      <c r="Q14" s="211">
        <v>0</v>
      </c>
      <c r="R14" s="304">
        <v>1246</v>
      </c>
      <c r="S14" s="304">
        <v>4</v>
      </c>
      <c r="T14" s="209">
        <v>22198</v>
      </c>
      <c r="U14" s="209">
        <v>898</v>
      </c>
      <c r="V14" s="209">
        <v>117277</v>
      </c>
      <c r="W14" s="209">
        <v>1392</v>
      </c>
      <c r="X14" s="209">
        <v>38776</v>
      </c>
      <c r="Y14" s="209">
        <v>101</v>
      </c>
      <c r="Z14" s="209">
        <v>78501</v>
      </c>
      <c r="AA14" s="209">
        <v>1291</v>
      </c>
      <c r="AB14" s="209">
        <v>30852</v>
      </c>
      <c r="AC14" s="209">
        <v>3709</v>
      </c>
      <c r="AD14" s="210">
        <v>26588</v>
      </c>
      <c r="AE14" s="210">
        <v>3639</v>
      </c>
      <c r="AF14" s="210">
        <v>4264</v>
      </c>
      <c r="AG14" s="210">
        <v>70</v>
      </c>
      <c r="AH14" s="29"/>
    </row>
    <row r="15" spans="1:34" ht="15.75" customHeight="1">
      <c r="A15" s="273" t="s">
        <v>164</v>
      </c>
      <c r="B15" s="275">
        <v>9870832</v>
      </c>
      <c r="C15" s="209">
        <v>102380</v>
      </c>
      <c r="D15" s="275">
        <v>9709854</v>
      </c>
      <c r="E15" s="209">
        <v>95207</v>
      </c>
      <c r="F15" s="209">
        <v>2701573</v>
      </c>
      <c r="G15" s="209">
        <v>10324</v>
      </c>
      <c r="H15" s="209">
        <v>6546124</v>
      </c>
      <c r="I15" s="209">
        <v>80757</v>
      </c>
      <c r="J15" s="209">
        <v>425269</v>
      </c>
      <c r="K15" s="209">
        <v>2852</v>
      </c>
      <c r="L15" s="209">
        <v>5770</v>
      </c>
      <c r="M15" s="209">
        <v>162</v>
      </c>
      <c r="N15" s="211">
        <v>0</v>
      </c>
      <c r="O15" s="211">
        <v>0</v>
      </c>
      <c r="P15" s="211">
        <v>0</v>
      </c>
      <c r="Q15" s="211">
        <v>0</v>
      </c>
      <c r="R15" s="304">
        <v>2587</v>
      </c>
      <c r="S15" s="304">
        <v>11</v>
      </c>
      <c r="T15" s="209">
        <v>28531</v>
      </c>
      <c r="U15" s="209">
        <v>1101</v>
      </c>
      <c r="V15" s="209">
        <v>126398</v>
      </c>
      <c r="W15" s="209">
        <v>2674</v>
      </c>
      <c r="X15" s="209">
        <v>40606</v>
      </c>
      <c r="Y15" s="209">
        <v>120</v>
      </c>
      <c r="Z15" s="209">
        <v>85792</v>
      </c>
      <c r="AA15" s="209">
        <v>2554</v>
      </c>
      <c r="AB15" s="209">
        <v>34580</v>
      </c>
      <c r="AC15" s="209">
        <v>4499</v>
      </c>
      <c r="AD15" s="210">
        <v>31030</v>
      </c>
      <c r="AE15" s="210">
        <v>4447</v>
      </c>
      <c r="AF15" s="210">
        <v>3550</v>
      </c>
      <c r="AG15" s="210">
        <v>52</v>
      </c>
      <c r="AH15" s="29"/>
    </row>
    <row r="16" spans="1:34" ht="15.75" customHeight="1" hidden="1">
      <c r="A16" s="233" t="s">
        <v>171</v>
      </c>
      <c r="B16" s="264">
        <f aca="true" t="shared" si="0" ref="B16:C28">D16++V16++AB16</f>
        <v>8102215</v>
      </c>
      <c r="C16" s="197">
        <f t="shared" si="0"/>
        <v>92192</v>
      </c>
      <c r="D16" s="264">
        <f aca="true" t="shared" si="1" ref="D16:E28">F16+H16+J16+N16+P16+L16+R16+T16</f>
        <v>7978500</v>
      </c>
      <c r="E16" s="197">
        <f t="shared" si="1"/>
        <v>86907</v>
      </c>
      <c r="F16" s="197">
        <v>1283389</v>
      </c>
      <c r="G16" s="197">
        <v>5032</v>
      </c>
      <c r="H16" s="197">
        <v>6438898</v>
      </c>
      <c r="I16" s="197">
        <v>79016</v>
      </c>
      <c r="J16" s="197">
        <v>221206</v>
      </c>
      <c r="K16" s="197">
        <v>1612</v>
      </c>
      <c r="L16" s="197">
        <v>5701</v>
      </c>
      <c r="M16" s="197">
        <v>155</v>
      </c>
      <c r="N16" s="211">
        <v>0</v>
      </c>
      <c r="O16" s="211">
        <v>0</v>
      </c>
      <c r="P16" s="211">
        <v>0</v>
      </c>
      <c r="Q16" s="211">
        <v>0</v>
      </c>
      <c r="R16" s="295">
        <v>950</v>
      </c>
      <c r="S16" s="295">
        <v>8</v>
      </c>
      <c r="T16" s="197">
        <v>28356</v>
      </c>
      <c r="U16" s="197">
        <v>1084</v>
      </c>
      <c r="V16" s="197">
        <f aca="true" t="shared" si="2" ref="V16:V21">X16+Z16</f>
        <v>103454</v>
      </c>
      <c r="W16" s="197">
        <f aca="true" t="shared" si="3" ref="W16:W21">+Y16+AA16</f>
        <v>2562</v>
      </c>
      <c r="X16" s="197">
        <v>19133</v>
      </c>
      <c r="Y16" s="197">
        <v>73</v>
      </c>
      <c r="Z16" s="197">
        <v>84321</v>
      </c>
      <c r="AA16" s="197">
        <v>2489</v>
      </c>
      <c r="AB16" s="197">
        <f aca="true" t="shared" si="4" ref="AB16:AC28">AD16+AF16</f>
        <v>20261</v>
      </c>
      <c r="AC16" s="197">
        <f t="shared" si="4"/>
        <v>2723</v>
      </c>
      <c r="AD16" s="198">
        <v>18345</v>
      </c>
      <c r="AE16" s="198">
        <v>2689</v>
      </c>
      <c r="AF16" s="198">
        <v>1916</v>
      </c>
      <c r="AG16" s="198">
        <v>34</v>
      </c>
      <c r="AH16" s="29"/>
    </row>
    <row r="17" spans="1:34" ht="15.75" customHeight="1" hidden="1">
      <c r="A17" s="233" t="s">
        <v>172</v>
      </c>
      <c r="B17" s="264">
        <f t="shared" si="0"/>
        <v>8476851</v>
      </c>
      <c r="C17" s="197">
        <f t="shared" si="0"/>
        <v>94375</v>
      </c>
      <c r="D17" s="264">
        <f t="shared" si="1"/>
        <v>8349885</v>
      </c>
      <c r="E17" s="197">
        <f t="shared" si="1"/>
        <v>88669</v>
      </c>
      <c r="F17" s="197">
        <v>1554648</v>
      </c>
      <c r="G17" s="197">
        <v>5969</v>
      </c>
      <c r="H17" s="197">
        <v>6486428</v>
      </c>
      <c r="I17" s="197">
        <v>79498</v>
      </c>
      <c r="J17" s="197">
        <v>273575</v>
      </c>
      <c r="K17" s="197">
        <v>1938</v>
      </c>
      <c r="L17" s="197">
        <v>5713</v>
      </c>
      <c r="M17" s="197">
        <v>156</v>
      </c>
      <c r="N17" s="211">
        <v>0</v>
      </c>
      <c r="O17" s="211">
        <v>0</v>
      </c>
      <c r="P17" s="211">
        <v>0</v>
      </c>
      <c r="Q17" s="211">
        <v>0</v>
      </c>
      <c r="R17" s="295">
        <v>1039</v>
      </c>
      <c r="S17" s="295">
        <v>9</v>
      </c>
      <c r="T17" s="197">
        <v>28482</v>
      </c>
      <c r="U17" s="197">
        <v>1099</v>
      </c>
      <c r="V17" s="197">
        <f t="shared" si="2"/>
        <v>103910</v>
      </c>
      <c r="W17" s="197">
        <f t="shared" si="3"/>
        <v>2571</v>
      </c>
      <c r="X17" s="197">
        <v>19490</v>
      </c>
      <c r="Y17" s="197">
        <v>76</v>
      </c>
      <c r="Z17" s="197">
        <v>84420</v>
      </c>
      <c r="AA17" s="197">
        <v>2495</v>
      </c>
      <c r="AB17" s="197">
        <f t="shared" si="4"/>
        <v>23056</v>
      </c>
      <c r="AC17" s="197">
        <f t="shared" si="4"/>
        <v>3135</v>
      </c>
      <c r="AD17" s="198">
        <v>20976</v>
      </c>
      <c r="AE17" s="198">
        <v>3097</v>
      </c>
      <c r="AF17" s="198">
        <v>2080</v>
      </c>
      <c r="AG17" s="198">
        <v>38</v>
      </c>
      <c r="AH17" s="29"/>
    </row>
    <row r="18" spans="1:34" ht="15.75" customHeight="1" hidden="1">
      <c r="A18" s="233" t="s">
        <v>173</v>
      </c>
      <c r="B18" s="264">
        <f t="shared" si="0"/>
        <v>8876495</v>
      </c>
      <c r="C18" s="197">
        <f t="shared" si="0"/>
        <v>96546</v>
      </c>
      <c r="D18" s="264">
        <f t="shared" si="1"/>
        <v>8740368</v>
      </c>
      <c r="E18" s="197">
        <f t="shared" si="1"/>
        <v>90412</v>
      </c>
      <c r="F18" s="197">
        <v>1880270</v>
      </c>
      <c r="G18" s="197">
        <v>7150</v>
      </c>
      <c r="H18" s="197">
        <v>6513718</v>
      </c>
      <c r="I18" s="197">
        <v>79825</v>
      </c>
      <c r="J18" s="197">
        <v>311097</v>
      </c>
      <c r="K18" s="197">
        <v>2171</v>
      </c>
      <c r="L18" s="197">
        <v>5713</v>
      </c>
      <c r="M18" s="197">
        <v>156</v>
      </c>
      <c r="N18" s="211">
        <v>0</v>
      </c>
      <c r="O18" s="211">
        <v>0</v>
      </c>
      <c r="P18" s="211">
        <v>0</v>
      </c>
      <c r="Q18" s="211">
        <v>0</v>
      </c>
      <c r="R18" s="295">
        <v>1039</v>
      </c>
      <c r="S18" s="295">
        <v>9</v>
      </c>
      <c r="T18" s="197">
        <v>28531</v>
      </c>
      <c r="U18" s="197">
        <v>1101</v>
      </c>
      <c r="V18" s="197">
        <f t="shared" si="2"/>
        <v>110264</v>
      </c>
      <c r="W18" s="197">
        <f t="shared" si="3"/>
        <v>2599</v>
      </c>
      <c r="X18" s="197">
        <v>25342</v>
      </c>
      <c r="Y18" s="197">
        <v>87</v>
      </c>
      <c r="Z18" s="197">
        <v>84922</v>
      </c>
      <c r="AA18" s="197">
        <v>2512</v>
      </c>
      <c r="AB18" s="197">
        <f t="shared" si="4"/>
        <v>25863</v>
      </c>
      <c r="AC18" s="197">
        <f t="shared" si="4"/>
        <v>3535</v>
      </c>
      <c r="AD18" s="198">
        <v>23588</v>
      </c>
      <c r="AE18" s="198">
        <v>3495</v>
      </c>
      <c r="AF18" s="198">
        <v>2275</v>
      </c>
      <c r="AG18" s="198">
        <v>40</v>
      </c>
      <c r="AH18" s="29"/>
    </row>
    <row r="19" spans="1:34" ht="15.75" customHeight="1" hidden="1">
      <c r="A19" s="233" t="s">
        <v>174</v>
      </c>
      <c r="B19" s="264">
        <f t="shared" si="0"/>
        <v>9186978</v>
      </c>
      <c r="C19" s="197">
        <f t="shared" si="0"/>
        <v>98368</v>
      </c>
      <c r="D19" s="264">
        <f t="shared" si="1"/>
        <v>9040744</v>
      </c>
      <c r="E19" s="197">
        <f t="shared" si="1"/>
        <v>91917</v>
      </c>
      <c r="F19" s="197">
        <v>2144489</v>
      </c>
      <c r="G19" s="197">
        <v>8261</v>
      </c>
      <c r="H19" s="197">
        <v>6528618</v>
      </c>
      <c r="I19" s="197">
        <v>80075</v>
      </c>
      <c r="J19" s="197">
        <v>332354</v>
      </c>
      <c r="K19" s="197">
        <v>2315</v>
      </c>
      <c r="L19" s="197">
        <v>5713</v>
      </c>
      <c r="M19" s="197">
        <v>156</v>
      </c>
      <c r="N19" s="211">
        <v>0</v>
      </c>
      <c r="O19" s="211">
        <v>0</v>
      </c>
      <c r="P19" s="211">
        <v>0</v>
      </c>
      <c r="Q19" s="211">
        <v>0</v>
      </c>
      <c r="R19" s="295">
        <v>1039</v>
      </c>
      <c r="S19" s="295">
        <v>9</v>
      </c>
      <c r="T19" s="197">
        <v>28531</v>
      </c>
      <c r="U19" s="197">
        <v>1101</v>
      </c>
      <c r="V19" s="197">
        <f t="shared" si="2"/>
        <v>117621</v>
      </c>
      <c r="W19" s="197">
        <f t="shared" si="3"/>
        <v>2619</v>
      </c>
      <c r="X19" s="197">
        <v>32266</v>
      </c>
      <c r="Y19" s="197">
        <v>96</v>
      </c>
      <c r="Z19" s="197">
        <v>85355</v>
      </c>
      <c r="AA19" s="197">
        <v>2523</v>
      </c>
      <c r="AB19" s="197">
        <f t="shared" si="4"/>
        <v>28613</v>
      </c>
      <c r="AC19" s="197">
        <f t="shared" si="4"/>
        <v>3832</v>
      </c>
      <c r="AD19" s="198">
        <v>25943</v>
      </c>
      <c r="AE19" s="198">
        <v>3788</v>
      </c>
      <c r="AF19" s="198">
        <v>2670</v>
      </c>
      <c r="AG19" s="198">
        <v>44</v>
      </c>
      <c r="AH19" s="29"/>
    </row>
    <row r="20" spans="1:34" ht="15.75" customHeight="1" hidden="1">
      <c r="A20" s="233" t="s">
        <v>176</v>
      </c>
      <c r="B20" s="264">
        <f t="shared" si="0"/>
        <v>9475157</v>
      </c>
      <c r="C20" s="197">
        <f>E20++W20++AC20</f>
        <v>100188</v>
      </c>
      <c r="D20" s="264">
        <f t="shared" si="1"/>
        <v>9322620</v>
      </c>
      <c r="E20" s="197">
        <f t="shared" si="1"/>
        <v>93365</v>
      </c>
      <c r="F20" s="197">
        <v>2374822</v>
      </c>
      <c r="G20" s="197">
        <v>9135</v>
      </c>
      <c r="H20" s="197">
        <v>6542746</v>
      </c>
      <c r="I20" s="197">
        <v>80414</v>
      </c>
      <c r="J20" s="197">
        <v>368292</v>
      </c>
      <c r="K20" s="197">
        <v>2543</v>
      </c>
      <c r="L20" s="197">
        <v>5770</v>
      </c>
      <c r="M20" s="197">
        <v>162</v>
      </c>
      <c r="N20" s="211">
        <v>0</v>
      </c>
      <c r="O20" s="211">
        <v>0</v>
      </c>
      <c r="P20" s="211">
        <v>0</v>
      </c>
      <c r="Q20" s="211">
        <v>0</v>
      </c>
      <c r="R20" s="295">
        <v>2459</v>
      </c>
      <c r="S20" s="295">
        <v>10</v>
      </c>
      <c r="T20" s="197">
        <v>28531</v>
      </c>
      <c r="U20" s="197">
        <v>1101</v>
      </c>
      <c r="V20" s="197">
        <f t="shared" si="2"/>
        <v>120321</v>
      </c>
      <c r="W20" s="197">
        <f t="shared" si="3"/>
        <v>2640</v>
      </c>
      <c r="X20" s="197">
        <v>34819</v>
      </c>
      <c r="Y20" s="197">
        <v>105</v>
      </c>
      <c r="Z20" s="197">
        <v>85502</v>
      </c>
      <c r="AA20" s="197">
        <v>2535</v>
      </c>
      <c r="AB20" s="197">
        <f t="shared" si="4"/>
        <v>32216</v>
      </c>
      <c r="AC20" s="197">
        <f t="shared" si="4"/>
        <v>4183</v>
      </c>
      <c r="AD20" s="198">
        <v>28666</v>
      </c>
      <c r="AE20" s="198">
        <v>4131</v>
      </c>
      <c r="AF20" s="198">
        <v>3550</v>
      </c>
      <c r="AG20" s="198">
        <v>52</v>
      </c>
      <c r="AH20" s="29"/>
    </row>
    <row r="21" spans="1:34" ht="15.75" customHeight="1" hidden="1">
      <c r="A21" s="233" t="s">
        <v>178</v>
      </c>
      <c r="B21" s="264">
        <f t="shared" si="0"/>
        <v>9870832</v>
      </c>
      <c r="C21" s="197">
        <f t="shared" si="0"/>
        <v>102380</v>
      </c>
      <c r="D21" s="264">
        <f t="shared" si="1"/>
        <v>9709854</v>
      </c>
      <c r="E21" s="197">
        <f t="shared" si="1"/>
        <v>95207</v>
      </c>
      <c r="F21" s="197">
        <v>2701573</v>
      </c>
      <c r="G21" s="197">
        <v>10324</v>
      </c>
      <c r="H21" s="197">
        <v>6546124</v>
      </c>
      <c r="I21" s="197">
        <v>80757</v>
      </c>
      <c r="J21" s="197">
        <v>425269</v>
      </c>
      <c r="K21" s="197">
        <v>2852</v>
      </c>
      <c r="L21" s="197">
        <v>5770</v>
      </c>
      <c r="M21" s="197">
        <v>162</v>
      </c>
      <c r="N21" s="211">
        <v>0</v>
      </c>
      <c r="O21" s="211">
        <v>0</v>
      </c>
      <c r="P21" s="211">
        <v>0</v>
      </c>
      <c r="Q21" s="211">
        <v>0</v>
      </c>
      <c r="R21" s="295">
        <v>2587</v>
      </c>
      <c r="S21" s="295">
        <v>11</v>
      </c>
      <c r="T21" s="197">
        <v>28531</v>
      </c>
      <c r="U21" s="197">
        <v>1101</v>
      </c>
      <c r="V21" s="197">
        <f t="shared" si="2"/>
        <v>126398</v>
      </c>
      <c r="W21" s="197">
        <f t="shared" si="3"/>
        <v>2674</v>
      </c>
      <c r="X21" s="197">
        <v>40606</v>
      </c>
      <c r="Y21" s="197">
        <v>120</v>
      </c>
      <c r="Z21" s="197">
        <v>85792</v>
      </c>
      <c r="AA21" s="197">
        <v>2554</v>
      </c>
      <c r="AB21" s="197">
        <f t="shared" si="4"/>
        <v>34580</v>
      </c>
      <c r="AC21" s="197">
        <f t="shared" si="4"/>
        <v>4499</v>
      </c>
      <c r="AD21" s="198">
        <v>31030</v>
      </c>
      <c r="AE21" s="198">
        <v>4447</v>
      </c>
      <c r="AF21" s="198">
        <v>3550</v>
      </c>
      <c r="AG21" s="198">
        <v>52</v>
      </c>
      <c r="AH21" s="29"/>
    </row>
    <row r="22" spans="1:34" ht="15.75" customHeight="1">
      <c r="A22" s="273" t="s">
        <v>180</v>
      </c>
      <c r="B22" s="275">
        <f>B34</f>
        <v>11566206</v>
      </c>
      <c r="C22" s="275">
        <f aca="true" t="shared" si="5" ref="C22:AG22">C34</f>
        <v>107630</v>
      </c>
      <c r="D22" s="275">
        <f t="shared" si="5"/>
        <v>11401119</v>
      </c>
      <c r="E22" s="275">
        <f t="shared" si="5"/>
        <v>103793</v>
      </c>
      <c r="F22" s="275">
        <f t="shared" si="5"/>
        <v>3221671</v>
      </c>
      <c r="G22" s="275">
        <f t="shared" si="5"/>
        <v>12099</v>
      </c>
      <c r="H22" s="275">
        <f t="shared" si="5"/>
        <v>7669989</v>
      </c>
      <c r="I22" s="275">
        <f t="shared" si="5"/>
        <v>87350</v>
      </c>
      <c r="J22" s="275">
        <f t="shared" si="5"/>
        <v>467716</v>
      </c>
      <c r="K22" s="275">
        <f t="shared" si="5"/>
        <v>2935</v>
      </c>
      <c r="L22" s="275">
        <f t="shared" si="5"/>
        <v>6311</v>
      </c>
      <c r="M22" s="275">
        <f t="shared" si="5"/>
        <v>167</v>
      </c>
      <c r="N22" s="211">
        <v>0</v>
      </c>
      <c r="O22" s="211">
        <v>0</v>
      </c>
      <c r="P22" s="211">
        <v>0</v>
      </c>
      <c r="Q22" s="211">
        <v>0</v>
      </c>
      <c r="R22" s="275">
        <f t="shared" si="5"/>
        <v>1250</v>
      </c>
      <c r="S22" s="275">
        <f t="shared" si="5"/>
        <v>13</v>
      </c>
      <c r="T22" s="275">
        <f t="shared" si="5"/>
        <v>34182</v>
      </c>
      <c r="U22" s="275">
        <f t="shared" si="5"/>
        <v>1229</v>
      </c>
      <c r="V22" s="275">
        <f t="shared" si="5"/>
        <v>140860</v>
      </c>
      <c r="W22" s="275">
        <f t="shared" si="5"/>
        <v>1529</v>
      </c>
      <c r="X22" s="275">
        <f t="shared" si="5"/>
        <v>45052</v>
      </c>
      <c r="Y22" s="275">
        <f t="shared" si="5"/>
        <v>108</v>
      </c>
      <c r="Z22" s="275">
        <f t="shared" si="5"/>
        <v>95808</v>
      </c>
      <c r="AA22" s="275">
        <f t="shared" si="5"/>
        <v>1421</v>
      </c>
      <c r="AB22" s="275">
        <f t="shared" si="5"/>
        <v>24227</v>
      </c>
      <c r="AC22" s="275">
        <f t="shared" si="5"/>
        <v>2308</v>
      </c>
      <c r="AD22" s="275">
        <f t="shared" si="5"/>
        <v>20147</v>
      </c>
      <c r="AE22" s="275">
        <f t="shared" si="5"/>
        <v>2254</v>
      </c>
      <c r="AF22" s="275">
        <f t="shared" si="5"/>
        <v>4080</v>
      </c>
      <c r="AG22" s="275">
        <f t="shared" si="5"/>
        <v>54</v>
      </c>
      <c r="AH22" s="29"/>
    </row>
    <row r="23" spans="1:34" ht="15.75" customHeight="1" hidden="1">
      <c r="A23" s="233" t="s">
        <v>179</v>
      </c>
      <c r="B23" s="264">
        <f t="shared" si="0"/>
        <v>4057254</v>
      </c>
      <c r="C23" s="197">
        <f t="shared" si="0"/>
        <v>45079</v>
      </c>
      <c r="D23" s="264">
        <f t="shared" si="1"/>
        <v>3963659</v>
      </c>
      <c r="E23" s="197">
        <f t="shared" si="1"/>
        <v>43595</v>
      </c>
      <c r="F23" s="197">
        <v>259097</v>
      </c>
      <c r="G23" s="197">
        <v>1022</v>
      </c>
      <c r="H23" s="197">
        <v>3623268</v>
      </c>
      <c r="I23" s="197">
        <v>41524</v>
      </c>
      <c r="J23" s="197">
        <v>61922</v>
      </c>
      <c r="K23" s="197">
        <v>394</v>
      </c>
      <c r="L23" s="197">
        <v>3125</v>
      </c>
      <c r="M23" s="197">
        <v>81</v>
      </c>
      <c r="N23" s="211">
        <v>0</v>
      </c>
      <c r="O23" s="211">
        <v>0</v>
      </c>
      <c r="P23" s="211">
        <v>0</v>
      </c>
      <c r="Q23" s="211">
        <v>0</v>
      </c>
      <c r="R23" s="295">
        <v>117</v>
      </c>
      <c r="S23" s="295">
        <v>1</v>
      </c>
      <c r="T23" s="197">
        <v>16130</v>
      </c>
      <c r="U23" s="197">
        <v>573</v>
      </c>
      <c r="V23" s="197">
        <f aca="true" t="shared" si="6" ref="V23:V29">X23+Z23</f>
        <v>91174</v>
      </c>
      <c r="W23" s="197">
        <f aca="true" t="shared" si="7" ref="W23:W29">+Y23+AA23</f>
        <v>1252</v>
      </c>
      <c r="X23" s="197">
        <v>2803</v>
      </c>
      <c r="Y23" s="197">
        <v>8</v>
      </c>
      <c r="Z23" s="197">
        <v>88371</v>
      </c>
      <c r="AA23" s="197">
        <v>1244</v>
      </c>
      <c r="AB23" s="197">
        <f t="shared" si="4"/>
        <v>2421</v>
      </c>
      <c r="AC23" s="197">
        <f t="shared" si="4"/>
        <v>232</v>
      </c>
      <c r="AD23" s="198">
        <v>1684</v>
      </c>
      <c r="AE23" s="198">
        <v>228</v>
      </c>
      <c r="AF23" s="198">
        <v>737</v>
      </c>
      <c r="AG23" s="198">
        <v>4</v>
      </c>
      <c r="AH23" s="29"/>
    </row>
    <row r="24" spans="1:34" ht="15.75" customHeight="1" hidden="1">
      <c r="A24" s="233" t="s">
        <v>183</v>
      </c>
      <c r="B24" s="264">
        <f t="shared" si="0"/>
        <v>4315459</v>
      </c>
      <c r="C24" s="197">
        <f t="shared" si="0"/>
        <v>46656</v>
      </c>
      <c r="D24" s="264">
        <f t="shared" si="1"/>
        <v>4217288</v>
      </c>
      <c r="E24" s="197">
        <f t="shared" si="1"/>
        <v>44941</v>
      </c>
      <c r="F24" s="197">
        <v>406858</v>
      </c>
      <c r="G24" s="197">
        <v>1517</v>
      </c>
      <c r="H24" s="197">
        <v>3671715</v>
      </c>
      <c r="I24" s="197">
        <v>41985</v>
      </c>
      <c r="J24" s="197">
        <v>119129</v>
      </c>
      <c r="K24" s="197">
        <v>767</v>
      </c>
      <c r="L24" s="197">
        <v>3125</v>
      </c>
      <c r="M24" s="197">
        <v>81</v>
      </c>
      <c r="N24" s="211">
        <v>0</v>
      </c>
      <c r="O24" s="199">
        <v>0</v>
      </c>
      <c r="P24" s="211">
        <v>0</v>
      </c>
      <c r="Q24" s="211">
        <v>0</v>
      </c>
      <c r="R24" s="295">
        <v>117</v>
      </c>
      <c r="S24" s="295">
        <v>1</v>
      </c>
      <c r="T24" s="197">
        <v>16344</v>
      </c>
      <c r="U24" s="197">
        <v>590</v>
      </c>
      <c r="V24" s="197">
        <f t="shared" si="6"/>
        <v>94060</v>
      </c>
      <c r="W24" s="197">
        <f t="shared" si="7"/>
        <v>1275</v>
      </c>
      <c r="X24" s="197">
        <v>4431</v>
      </c>
      <c r="Y24" s="197">
        <v>14</v>
      </c>
      <c r="Z24" s="197">
        <v>89629</v>
      </c>
      <c r="AA24" s="197">
        <v>1261</v>
      </c>
      <c r="AB24" s="197">
        <f t="shared" si="4"/>
        <v>4111</v>
      </c>
      <c r="AC24" s="197">
        <f t="shared" si="4"/>
        <v>440</v>
      </c>
      <c r="AD24" s="198">
        <v>3292</v>
      </c>
      <c r="AE24" s="198">
        <v>430</v>
      </c>
      <c r="AF24" s="198">
        <v>819</v>
      </c>
      <c r="AG24" s="198">
        <v>10</v>
      </c>
      <c r="AH24" s="29"/>
    </row>
    <row r="25" spans="1:34" ht="15.75" customHeight="1" hidden="1">
      <c r="A25" s="233" t="s">
        <v>186</v>
      </c>
      <c r="B25" s="264">
        <f t="shared" si="0"/>
        <v>4599072</v>
      </c>
      <c r="C25" s="197">
        <f t="shared" si="0"/>
        <v>48346</v>
      </c>
      <c r="D25" s="264">
        <f t="shared" si="1"/>
        <v>4493562</v>
      </c>
      <c r="E25" s="197">
        <f t="shared" si="1"/>
        <v>46305</v>
      </c>
      <c r="F25" s="197">
        <v>637970</v>
      </c>
      <c r="G25" s="197">
        <v>2472</v>
      </c>
      <c r="H25" s="197">
        <v>3690187</v>
      </c>
      <c r="I25" s="197">
        <v>42213</v>
      </c>
      <c r="J25" s="197">
        <v>145809</v>
      </c>
      <c r="K25" s="197">
        <v>945</v>
      </c>
      <c r="L25" s="197">
        <v>3125</v>
      </c>
      <c r="M25" s="197">
        <v>81</v>
      </c>
      <c r="N25" s="199">
        <v>0</v>
      </c>
      <c r="O25" s="199">
        <v>0</v>
      </c>
      <c r="P25" s="199">
        <v>0</v>
      </c>
      <c r="Q25" s="199">
        <v>0</v>
      </c>
      <c r="R25" s="295">
        <v>117</v>
      </c>
      <c r="S25" s="295">
        <v>1</v>
      </c>
      <c r="T25" s="197">
        <v>16354</v>
      </c>
      <c r="U25" s="197">
        <v>593</v>
      </c>
      <c r="V25" s="197">
        <f t="shared" si="6"/>
        <v>98846</v>
      </c>
      <c r="W25" s="197">
        <f t="shared" si="7"/>
        <v>1307</v>
      </c>
      <c r="X25" s="197">
        <v>8063</v>
      </c>
      <c r="Y25" s="197">
        <v>24</v>
      </c>
      <c r="Z25" s="197">
        <v>90783</v>
      </c>
      <c r="AA25" s="197">
        <v>1283</v>
      </c>
      <c r="AB25" s="197">
        <f t="shared" si="4"/>
        <v>6664</v>
      </c>
      <c r="AC25" s="197">
        <f t="shared" si="4"/>
        <v>734</v>
      </c>
      <c r="AD25" s="198">
        <v>5564</v>
      </c>
      <c r="AE25" s="198">
        <v>720</v>
      </c>
      <c r="AF25" s="198">
        <v>1100</v>
      </c>
      <c r="AG25" s="198">
        <v>14</v>
      </c>
      <c r="AH25" s="29"/>
    </row>
    <row r="26" spans="1:34" ht="15.75" customHeight="1" hidden="1">
      <c r="A26" s="233" t="s">
        <v>187</v>
      </c>
      <c r="B26" s="264">
        <f t="shared" si="0"/>
        <v>4798069</v>
      </c>
      <c r="C26" s="197">
        <f t="shared" si="0"/>
        <v>49458</v>
      </c>
      <c r="D26" s="264">
        <f t="shared" si="1"/>
        <v>4684954</v>
      </c>
      <c r="E26" s="197">
        <f t="shared" si="1"/>
        <v>47142</v>
      </c>
      <c r="F26" s="197">
        <v>801220</v>
      </c>
      <c r="G26" s="197">
        <v>3036</v>
      </c>
      <c r="H26" s="197">
        <v>3699725</v>
      </c>
      <c r="I26" s="197">
        <v>42366</v>
      </c>
      <c r="J26" s="197">
        <v>163940</v>
      </c>
      <c r="K26" s="197">
        <v>1062</v>
      </c>
      <c r="L26" s="197">
        <v>3125</v>
      </c>
      <c r="M26" s="197">
        <v>81</v>
      </c>
      <c r="N26" s="199">
        <v>0</v>
      </c>
      <c r="O26" s="199">
        <v>0</v>
      </c>
      <c r="P26" s="199">
        <v>0</v>
      </c>
      <c r="Q26" s="199">
        <v>0</v>
      </c>
      <c r="R26" s="295">
        <v>590</v>
      </c>
      <c r="S26" s="295">
        <v>4</v>
      </c>
      <c r="T26" s="197">
        <v>16354</v>
      </c>
      <c r="U26" s="197">
        <v>593</v>
      </c>
      <c r="V26" s="197">
        <f t="shared" si="6"/>
        <v>104255</v>
      </c>
      <c r="W26" s="197">
        <f t="shared" si="7"/>
        <v>1344</v>
      </c>
      <c r="X26" s="197">
        <v>12307</v>
      </c>
      <c r="Y26" s="197">
        <v>36</v>
      </c>
      <c r="Z26" s="197">
        <v>91948</v>
      </c>
      <c r="AA26" s="197">
        <v>1308</v>
      </c>
      <c r="AB26" s="197">
        <f t="shared" si="4"/>
        <v>8860</v>
      </c>
      <c r="AC26" s="197">
        <f t="shared" si="4"/>
        <v>972</v>
      </c>
      <c r="AD26" s="198">
        <v>7455</v>
      </c>
      <c r="AE26" s="198">
        <v>952</v>
      </c>
      <c r="AF26" s="198">
        <v>1405</v>
      </c>
      <c r="AG26" s="198">
        <v>20</v>
      </c>
      <c r="AH26" s="29"/>
    </row>
    <row r="27" spans="1:34" ht="15.75" customHeight="1" hidden="1">
      <c r="A27" s="233" t="s">
        <v>188</v>
      </c>
      <c r="B27" s="264">
        <f t="shared" si="0"/>
        <v>5008036</v>
      </c>
      <c r="C27" s="197">
        <f t="shared" si="0"/>
        <v>50642</v>
      </c>
      <c r="D27" s="264">
        <f t="shared" si="1"/>
        <v>4890534</v>
      </c>
      <c r="E27" s="197">
        <f t="shared" si="1"/>
        <v>48086</v>
      </c>
      <c r="F27" s="197">
        <v>995379</v>
      </c>
      <c r="G27" s="197">
        <v>3827</v>
      </c>
      <c r="H27" s="197">
        <v>3703468</v>
      </c>
      <c r="I27" s="197">
        <v>42452</v>
      </c>
      <c r="J27" s="197">
        <v>171551</v>
      </c>
      <c r="K27" s="197">
        <v>1127</v>
      </c>
      <c r="L27" s="197">
        <v>3130</v>
      </c>
      <c r="M27" s="197">
        <v>82</v>
      </c>
      <c r="N27" s="199">
        <v>0</v>
      </c>
      <c r="O27" s="199">
        <v>0</v>
      </c>
      <c r="P27" s="199">
        <v>0</v>
      </c>
      <c r="Q27" s="199">
        <v>0</v>
      </c>
      <c r="R27" s="295">
        <v>652</v>
      </c>
      <c r="S27" s="295">
        <v>5</v>
      </c>
      <c r="T27" s="197">
        <v>16354</v>
      </c>
      <c r="U27" s="197">
        <v>593</v>
      </c>
      <c r="V27" s="197">
        <f t="shared" si="6"/>
        <v>106729</v>
      </c>
      <c r="W27" s="197">
        <f t="shared" si="7"/>
        <v>1364</v>
      </c>
      <c r="X27" s="197">
        <v>14495</v>
      </c>
      <c r="Y27" s="197">
        <v>43</v>
      </c>
      <c r="Z27" s="197">
        <v>92234</v>
      </c>
      <c r="AA27" s="197">
        <v>1321</v>
      </c>
      <c r="AB27" s="197">
        <f t="shared" si="4"/>
        <v>10773</v>
      </c>
      <c r="AC27" s="197">
        <f t="shared" si="4"/>
        <v>1192</v>
      </c>
      <c r="AD27" s="198">
        <v>9368</v>
      </c>
      <c r="AE27" s="198">
        <v>1172</v>
      </c>
      <c r="AF27" s="198">
        <v>1405</v>
      </c>
      <c r="AG27" s="198">
        <v>20</v>
      </c>
      <c r="AH27" s="29"/>
    </row>
    <row r="28" spans="1:34" ht="15.75" customHeight="1" hidden="1">
      <c r="A28" s="233" t="s">
        <v>189</v>
      </c>
      <c r="B28" s="264">
        <f t="shared" si="0"/>
        <v>5259614</v>
      </c>
      <c r="C28" s="197">
        <f t="shared" si="0"/>
        <v>51968</v>
      </c>
      <c r="D28" s="264">
        <f t="shared" si="1"/>
        <v>5133089</v>
      </c>
      <c r="E28" s="197">
        <f t="shared" si="1"/>
        <v>49198</v>
      </c>
      <c r="F28" s="197">
        <v>1220148</v>
      </c>
      <c r="G28" s="197">
        <v>4705</v>
      </c>
      <c r="H28" s="197">
        <v>3704575</v>
      </c>
      <c r="I28" s="197">
        <v>42581</v>
      </c>
      <c r="J28" s="197">
        <v>188027</v>
      </c>
      <c r="K28" s="197">
        <v>1231</v>
      </c>
      <c r="L28" s="197">
        <v>3130</v>
      </c>
      <c r="M28" s="197">
        <v>82</v>
      </c>
      <c r="N28" s="199">
        <v>0</v>
      </c>
      <c r="O28" s="199">
        <v>0</v>
      </c>
      <c r="P28" s="199">
        <v>0</v>
      </c>
      <c r="Q28" s="199">
        <v>0</v>
      </c>
      <c r="R28" s="295">
        <v>855</v>
      </c>
      <c r="S28" s="295">
        <v>6</v>
      </c>
      <c r="T28" s="197">
        <v>16354</v>
      </c>
      <c r="U28" s="197">
        <v>593</v>
      </c>
      <c r="V28" s="197">
        <f t="shared" si="6"/>
        <v>113387</v>
      </c>
      <c r="W28" s="197">
        <f t="shared" si="7"/>
        <v>1390</v>
      </c>
      <c r="X28" s="197">
        <v>20026</v>
      </c>
      <c r="Y28" s="197">
        <v>51</v>
      </c>
      <c r="Z28" s="197">
        <v>93361</v>
      </c>
      <c r="AA28" s="197">
        <v>1339</v>
      </c>
      <c r="AB28" s="197">
        <f t="shared" si="4"/>
        <v>13138</v>
      </c>
      <c r="AC28" s="197">
        <f t="shared" si="4"/>
        <v>1380</v>
      </c>
      <c r="AD28" s="198">
        <v>11160</v>
      </c>
      <c r="AE28" s="198">
        <v>1358</v>
      </c>
      <c r="AF28" s="198">
        <v>1978</v>
      </c>
      <c r="AG28" s="198">
        <v>22</v>
      </c>
      <c r="AH28" s="29"/>
    </row>
    <row r="29" spans="1:34" ht="15.75" customHeight="1" hidden="1">
      <c r="A29" s="233" t="s">
        <v>192</v>
      </c>
      <c r="B29" s="264">
        <f aca="true" t="shared" si="8" ref="B29:C37">D29+V29+AB29</f>
        <v>9512947</v>
      </c>
      <c r="C29" s="197">
        <f t="shared" si="8"/>
        <v>97299</v>
      </c>
      <c r="D29" s="264">
        <f aca="true" t="shared" si="9" ref="D29:E32">F29+H29+J29+N29+P29+L29+R29+T29</f>
        <v>9379739</v>
      </c>
      <c r="E29" s="197">
        <f t="shared" si="9"/>
        <v>94361</v>
      </c>
      <c r="F29" s="197">
        <v>1524917</v>
      </c>
      <c r="G29" s="197">
        <v>5702</v>
      </c>
      <c r="H29" s="197">
        <v>7562319</v>
      </c>
      <c r="I29" s="197">
        <v>85628</v>
      </c>
      <c r="J29" s="197">
        <v>251448</v>
      </c>
      <c r="K29" s="197">
        <v>1657</v>
      </c>
      <c r="L29" s="197">
        <v>6271</v>
      </c>
      <c r="M29" s="197">
        <v>163</v>
      </c>
      <c r="N29" s="196">
        <v>0</v>
      </c>
      <c r="O29" s="196">
        <v>0</v>
      </c>
      <c r="P29" s="196">
        <v>0</v>
      </c>
      <c r="Q29" s="196">
        <v>0</v>
      </c>
      <c r="R29" s="295">
        <v>995</v>
      </c>
      <c r="S29" s="295">
        <v>8</v>
      </c>
      <c r="T29" s="197">
        <v>33789</v>
      </c>
      <c r="U29" s="197">
        <v>1203</v>
      </c>
      <c r="V29" s="197">
        <f t="shared" si="6"/>
        <v>118514</v>
      </c>
      <c r="W29" s="197">
        <f t="shared" si="7"/>
        <v>1414</v>
      </c>
      <c r="X29" s="197">
        <v>24520</v>
      </c>
      <c r="Y29" s="197">
        <v>62</v>
      </c>
      <c r="Z29" s="197">
        <v>93994</v>
      </c>
      <c r="AA29" s="197">
        <v>1352</v>
      </c>
      <c r="AB29" s="197">
        <f>AD29+AF29</f>
        <v>14694</v>
      </c>
      <c r="AC29" s="197">
        <f>AE29+AG29</f>
        <v>1524</v>
      </c>
      <c r="AD29" s="198">
        <v>12326</v>
      </c>
      <c r="AE29" s="198">
        <v>1492</v>
      </c>
      <c r="AF29" s="198">
        <v>2368</v>
      </c>
      <c r="AG29" s="198">
        <v>32</v>
      </c>
      <c r="AH29" s="29"/>
    </row>
    <row r="30" spans="1:34" s="27" customFormat="1" ht="15.75" customHeight="1" hidden="1">
      <c r="A30" s="233" t="s">
        <v>196</v>
      </c>
      <c r="B30" s="264">
        <f t="shared" si="8"/>
        <v>9937388</v>
      </c>
      <c r="C30" s="197">
        <f t="shared" si="8"/>
        <v>99449</v>
      </c>
      <c r="D30" s="264">
        <f t="shared" si="9"/>
        <v>9799307</v>
      </c>
      <c r="E30" s="197">
        <f t="shared" si="9"/>
        <v>96293</v>
      </c>
      <c r="F30" s="197">
        <v>1844903</v>
      </c>
      <c r="G30" s="197">
        <v>6829</v>
      </c>
      <c r="H30" s="197">
        <v>7613716</v>
      </c>
      <c r="I30" s="197">
        <v>86104</v>
      </c>
      <c r="J30" s="197">
        <v>299369</v>
      </c>
      <c r="K30" s="197">
        <v>1973</v>
      </c>
      <c r="L30" s="197">
        <v>6271</v>
      </c>
      <c r="M30" s="197">
        <v>163</v>
      </c>
      <c r="N30" s="196">
        <v>0</v>
      </c>
      <c r="O30" s="196">
        <v>0</v>
      </c>
      <c r="P30" s="196">
        <v>0</v>
      </c>
      <c r="Q30" s="196">
        <v>0</v>
      </c>
      <c r="R30" s="295">
        <v>995</v>
      </c>
      <c r="S30" s="295">
        <v>8</v>
      </c>
      <c r="T30" s="197">
        <v>34053</v>
      </c>
      <c r="U30" s="197">
        <v>1216</v>
      </c>
      <c r="V30" s="197">
        <f>X30+Z30</f>
        <v>120663</v>
      </c>
      <c r="W30" s="197">
        <f>+Y30+AA30</f>
        <v>1428</v>
      </c>
      <c r="X30" s="197">
        <v>26399</v>
      </c>
      <c r="Y30" s="197">
        <v>67</v>
      </c>
      <c r="Z30" s="197">
        <v>94264</v>
      </c>
      <c r="AA30" s="197">
        <v>1361</v>
      </c>
      <c r="AB30" s="197">
        <f>AD30+AF30</f>
        <v>17418</v>
      </c>
      <c r="AC30" s="197">
        <f>AE30+AG30</f>
        <v>1728</v>
      </c>
      <c r="AD30" s="198">
        <v>14578</v>
      </c>
      <c r="AE30" s="198">
        <v>1690</v>
      </c>
      <c r="AF30" s="198">
        <v>2840</v>
      </c>
      <c r="AG30" s="198">
        <v>38</v>
      </c>
      <c r="AH30" s="29"/>
    </row>
    <row r="31" spans="1:34" s="27" customFormat="1" ht="15.75" customHeight="1" hidden="1">
      <c r="A31" s="233" t="s">
        <v>199</v>
      </c>
      <c r="B31" s="264">
        <f t="shared" si="8"/>
        <v>10420391</v>
      </c>
      <c r="C31" s="197">
        <f t="shared" si="8"/>
        <v>101591</v>
      </c>
      <c r="D31" s="264">
        <f t="shared" si="9"/>
        <v>10276977</v>
      </c>
      <c r="E31" s="197">
        <f t="shared" si="9"/>
        <v>98279</v>
      </c>
      <c r="F31" s="197">
        <v>2270836</v>
      </c>
      <c r="G31" s="197">
        <v>8361</v>
      </c>
      <c r="H31" s="197">
        <v>7636183</v>
      </c>
      <c r="I31" s="197">
        <v>86364</v>
      </c>
      <c r="J31" s="197">
        <f>328462</f>
        <v>328462</v>
      </c>
      <c r="K31" s="197">
        <v>2157</v>
      </c>
      <c r="L31" s="197">
        <v>6279</v>
      </c>
      <c r="M31" s="197">
        <v>164</v>
      </c>
      <c r="N31" s="196">
        <v>0</v>
      </c>
      <c r="O31" s="196">
        <v>0</v>
      </c>
      <c r="P31" s="196">
        <v>0</v>
      </c>
      <c r="Q31" s="196">
        <v>0</v>
      </c>
      <c r="R31" s="295">
        <v>1091</v>
      </c>
      <c r="S31" s="295">
        <v>10</v>
      </c>
      <c r="T31" s="197">
        <v>34126</v>
      </c>
      <c r="U31" s="197">
        <v>1223</v>
      </c>
      <c r="V31" s="197">
        <f>X31+Z31</f>
        <v>124144</v>
      </c>
      <c r="W31" s="197">
        <f>+Y31+AA31</f>
        <v>1456</v>
      </c>
      <c r="X31" s="197">
        <v>29518</v>
      </c>
      <c r="Y31" s="197">
        <v>78</v>
      </c>
      <c r="Z31" s="197">
        <v>94626</v>
      </c>
      <c r="AA31" s="197">
        <v>1378</v>
      </c>
      <c r="AB31" s="197">
        <f aca="true" t="shared" si="10" ref="AB31:AC38">AD31+AF31</f>
        <v>19270</v>
      </c>
      <c r="AC31" s="197">
        <f t="shared" si="10"/>
        <v>1856</v>
      </c>
      <c r="AD31" s="198">
        <v>15847</v>
      </c>
      <c r="AE31" s="198">
        <v>1814</v>
      </c>
      <c r="AF31" s="198">
        <v>3423</v>
      </c>
      <c r="AG31" s="198">
        <v>42</v>
      </c>
      <c r="AH31" s="29"/>
    </row>
    <row r="32" spans="1:34" s="27" customFormat="1" ht="15.75" customHeight="1" hidden="1">
      <c r="A32" s="233" t="s">
        <v>201</v>
      </c>
      <c r="B32" s="264">
        <f t="shared" si="8"/>
        <v>10752766</v>
      </c>
      <c r="C32" s="197">
        <f t="shared" si="8"/>
        <v>103351</v>
      </c>
      <c r="D32" s="264">
        <f t="shared" si="9"/>
        <v>10603596</v>
      </c>
      <c r="E32" s="197">
        <f t="shared" si="9"/>
        <v>99875</v>
      </c>
      <c r="F32" s="197">
        <v>2571209</v>
      </c>
      <c r="G32" s="197">
        <v>9667</v>
      </c>
      <c r="H32" s="197">
        <v>7646724</v>
      </c>
      <c r="I32" s="197">
        <v>86537</v>
      </c>
      <c r="J32" s="197">
        <v>344129</v>
      </c>
      <c r="K32" s="197">
        <v>2271</v>
      </c>
      <c r="L32" s="197">
        <v>6279</v>
      </c>
      <c r="M32" s="197">
        <v>164</v>
      </c>
      <c r="N32" s="196">
        <v>0</v>
      </c>
      <c r="O32" s="196">
        <v>0</v>
      </c>
      <c r="P32" s="196">
        <v>0</v>
      </c>
      <c r="Q32" s="196">
        <v>0</v>
      </c>
      <c r="R32" s="295">
        <v>1091</v>
      </c>
      <c r="S32" s="295">
        <v>10</v>
      </c>
      <c r="T32" s="197">
        <v>34164</v>
      </c>
      <c r="U32" s="197">
        <v>1226</v>
      </c>
      <c r="V32" s="197">
        <f>X32+Z32</f>
        <v>128067</v>
      </c>
      <c r="W32" s="197">
        <f>+Y32+AA32</f>
        <v>1472</v>
      </c>
      <c r="X32" s="197">
        <v>33040</v>
      </c>
      <c r="Y32" s="197">
        <v>84</v>
      </c>
      <c r="Z32" s="197">
        <v>95027</v>
      </c>
      <c r="AA32" s="197">
        <v>1388</v>
      </c>
      <c r="AB32" s="197">
        <f t="shared" si="10"/>
        <v>21103</v>
      </c>
      <c r="AC32" s="197">
        <f t="shared" si="10"/>
        <v>2004</v>
      </c>
      <c r="AD32" s="198">
        <v>17562</v>
      </c>
      <c r="AE32" s="198">
        <v>1958</v>
      </c>
      <c r="AF32" s="198">
        <v>3541</v>
      </c>
      <c r="AG32" s="198">
        <v>46</v>
      </c>
      <c r="AH32" s="29"/>
    </row>
    <row r="33" spans="1:34" s="27" customFormat="1" ht="15.75" customHeight="1" hidden="1">
      <c r="A33" s="233" t="s">
        <v>203</v>
      </c>
      <c r="B33" s="264">
        <f t="shared" si="8"/>
        <v>11140735</v>
      </c>
      <c r="C33" s="197">
        <f t="shared" si="8"/>
        <v>105375</v>
      </c>
      <c r="D33" s="264">
        <f>F33+H33+J33+N33+P33+L33+R33+T33+1</f>
        <v>10979002</v>
      </c>
      <c r="E33" s="197">
        <f>G33+I33+K33+O33+Q33+M33+S33+U33</f>
        <v>101700</v>
      </c>
      <c r="F33" s="197">
        <v>2862682</v>
      </c>
      <c r="G33" s="197">
        <v>10678</v>
      </c>
      <c r="H33" s="197">
        <v>7667207</v>
      </c>
      <c r="I33" s="197">
        <v>87005</v>
      </c>
      <c r="J33" s="197">
        <v>407498</v>
      </c>
      <c r="K33" s="197">
        <v>2612</v>
      </c>
      <c r="L33" s="197">
        <v>6279</v>
      </c>
      <c r="M33" s="197">
        <v>164</v>
      </c>
      <c r="N33" s="196">
        <v>0</v>
      </c>
      <c r="O33" s="196">
        <v>0</v>
      </c>
      <c r="P33" s="196">
        <v>0</v>
      </c>
      <c r="Q33" s="196">
        <v>0</v>
      </c>
      <c r="R33" s="295">
        <v>1153</v>
      </c>
      <c r="S33" s="295">
        <v>12</v>
      </c>
      <c r="T33" s="197">
        <v>34182</v>
      </c>
      <c r="U33" s="197">
        <v>1229</v>
      </c>
      <c r="V33" s="197">
        <f>X33+Z33</f>
        <v>138940</v>
      </c>
      <c r="W33" s="197">
        <f>+Y33+AA33</f>
        <v>1513</v>
      </c>
      <c r="X33" s="197">
        <v>43272</v>
      </c>
      <c r="Y33" s="197">
        <v>102</v>
      </c>
      <c r="Z33" s="197">
        <v>95668</v>
      </c>
      <c r="AA33" s="197">
        <v>1411</v>
      </c>
      <c r="AB33" s="197">
        <f t="shared" si="10"/>
        <v>22793</v>
      </c>
      <c r="AC33" s="197">
        <f t="shared" si="10"/>
        <v>2162</v>
      </c>
      <c r="AD33" s="198">
        <v>18825</v>
      </c>
      <c r="AE33" s="198">
        <v>2110</v>
      </c>
      <c r="AF33" s="198">
        <v>3968</v>
      </c>
      <c r="AG33" s="198">
        <v>52</v>
      </c>
      <c r="AH33" s="29"/>
    </row>
    <row r="34" spans="1:34" s="27" customFormat="1" ht="15.75" customHeight="1" hidden="1">
      <c r="A34" s="233" t="s">
        <v>204</v>
      </c>
      <c r="B34" s="264">
        <f>D34+V34+AB34</f>
        <v>11566206</v>
      </c>
      <c r="C34" s="197">
        <f t="shared" si="8"/>
        <v>107630</v>
      </c>
      <c r="D34" s="264">
        <f>F34+H34+J34+N34+P34+L34+R34+T34</f>
        <v>11401119</v>
      </c>
      <c r="E34" s="197">
        <f>G34+I34+K34+O34+Q34+M34+S34+U34</f>
        <v>103793</v>
      </c>
      <c r="F34" s="197">
        <v>3221671</v>
      </c>
      <c r="G34" s="197">
        <v>12099</v>
      </c>
      <c r="H34" s="197">
        <v>7669989</v>
      </c>
      <c r="I34" s="197">
        <v>87350</v>
      </c>
      <c r="J34" s="197">
        <v>467716</v>
      </c>
      <c r="K34" s="197">
        <v>2935</v>
      </c>
      <c r="L34" s="197">
        <v>6311</v>
      </c>
      <c r="M34" s="197">
        <v>167</v>
      </c>
      <c r="N34" s="196">
        <v>0</v>
      </c>
      <c r="O34" s="196">
        <v>0</v>
      </c>
      <c r="P34" s="196">
        <v>0</v>
      </c>
      <c r="Q34" s="196">
        <v>0</v>
      </c>
      <c r="R34" s="295">
        <v>1250</v>
      </c>
      <c r="S34" s="295">
        <v>13</v>
      </c>
      <c r="T34" s="197">
        <v>34182</v>
      </c>
      <c r="U34" s="197">
        <v>1229</v>
      </c>
      <c r="V34" s="197">
        <f>X34+Z34</f>
        <v>140860</v>
      </c>
      <c r="W34" s="197">
        <f>+Y34+AA34</f>
        <v>1529</v>
      </c>
      <c r="X34" s="197">
        <v>45052</v>
      </c>
      <c r="Y34" s="197">
        <v>108</v>
      </c>
      <c r="Z34" s="197">
        <v>95808</v>
      </c>
      <c r="AA34" s="197">
        <v>1421</v>
      </c>
      <c r="AB34" s="197">
        <f t="shared" si="10"/>
        <v>24227</v>
      </c>
      <c r="AC34" s="197">
        <f t="shared" si="10"/>
        <v>2308</v>
      </c>
      <c r="AD34" s="198">
        <v>20147</v>
      </c>
      <c r="AE34" s="198">
        <v>2254</v>
      </c>
      <c r="AF34" s="198">
        <v>4080</v>
      </c>
      <c r="AG34" s="198">
        <v>54</v>
      </c>
      <c r="AH34" s="29"/>
    </row>
    <row r="35" spans="1:34" s="27" customFormat="1" ht="15.75" customHeight="1">
      <c r="A35" s="273" t="s">
        <v>206</v>
      </c>
      <c r="B35" s="275">
        <f>B47</f>
        <v>13622218</v>
      </c>
      <c r="C35" s="275">
        <f aca="true" t="shared" si="11" ref="C35:AG35">C47</f>
        <v>118049</v>
      </c>
      <c r="D35" s="275">
        <f t="shared" si="11"/>
        <v>13473071</v>
      </c>
      <c r="E35" s="275">
        <f t="shared" si="11"/>
        <v>114518</v>
      </c>
      <c r="F35" s="275">
        <f t="shared" si="11"/>
        <v>3925368</v>
      </c>
      <c r="G35" s="275">
        <f t="shared" si="11"/>
        <v>13925</v>
      </c>
      <c r="H35" s="275">
        <f t="shared" si="11"/>
        <v>8916841</v>
      </c>
      <c r="I35" s="275">
        <f t="shared" si="11"/>
        <v>95443</v>
      </c>
      <c r="J35" s="275">
        <f t="shared" si="11"/>
        <v>582223</v>
      </c>
      <c r="K35" s="275">
        <f t="shared" si="11"/>
        <v>3586</v>
      </c>
      <c r="L35" s="275">
        <f t="shared" si="11"/>
        <v>6660</v>
      </c>
      <c r="M35" s="275">
        <f t="shared" si="11"/>
        <v>173</v>
      </c>
      <c r="N35" s="211">
        <f t="shared" si="11"/>
        <v>0</v>
      </c>
      <c r="O35" s="211">
        <f t="shared" si="11"/>
        <v>0</v>
      </c>
      <c r="P35" s="211">
        <f t="shared" si="11"/>
        <v>0</v>
      </c>
      <c r="Q35" s="211">
        <f t="shared" si="11"/>
        <v>0</v>
      </c>
      <c r="R35" s="275">
        <f t="shared" si="11"/>
        <v>1696</v>
      </c>
      <c r="S35" s="275">
        <f t="shared" si="11"/>
        <v>10</v>
      </c>
      <c r="T35" s="275">
        <f t="shared" si="11"/>
        <v>40283</v>
      </c>
      <c r="U35" s="275">
        <f t="shared" si="11"/>
        <v>1381</v>
      </c>
      <c r="V35" s="275">
        <f t="shared" si="11"/>
        <v>131577</v>
      </c>
      <c r="W35" s="275">
        <f t="shared" si="11"/>
        <v>1472</v>
      </c>
      <c r="X35" s="275">
        <f t="shared" si="11"/>
        <v>30124</v>
      </c>
      <c r="Y35" s="275">
        <f t="shared" si="11"/>
        <v>83</v>
      </c>
      <c r="Z35" s="275">
        <f t="shared" si="11"/>
        <v>101453</v>
      </c>
      <c r="AA35" s="275">
        <f t="shared" si="11"/>
        <v>1389</v>
      </c>
      <c r="AB35" s="275">
        <f t="shared" si="11"/>
        <v>17570</v>
      </c>
      <c r="AC35" s="275">
        <f t="shared" si="11"/>
        <v>2059</v>
      </c>
      <c r="AD35" s="275">
        <f t="shared" si="11"/>
        <v>15526</v>
      </c>
      <c r="AE35" s="275">
        <f t="shared" si="11"/>
        <v>2025</v>
      </c>
      <c r="AF35" s="275">
        <f t="shared" si="11"/>
        <v>2044</v>
      </c>
      <c r="AG35" s="275">
        <f t="shared" si="11"/>
        <v>34</v>
      </c>
      <c r="AH35" s="29"/>
    </row>
    <row r="36" spans="1:34" s="27" customFormat="1" ht="15.75" customHeight="1" hidden="1">
      <c r="A36" s="233" t="s">
        <v>205</v>
      </c>
      <c r="B36" s="264">
        <f aca="true" t="shared" si="12" ref="B36:B41">D36+V36+AB36</f>
        <v>4747592</v>
      </c>
      <c r="C36" s="197">
        <f t="shared" si="8"/>
        <v>49256</v>
      </c>
      <c r="D36" s="264">
        <f aca="true" t="shared" si="13" ref="D36:E40">F36+H36+J36+N36+P36+L36+R36+T36</f>
        <v>4648878</v>
      </c>
      <c r="E36" s="197">
        <f t="shared" si="13"/>
        <v>47806</v>
      </c>
      <c r="F36" s="197">
        <v>339250</v>
      </c>
      <c r="G36" s="197">
        <v>1273</v>
      </c>
      <c r="H36" s="197">
        <v>4197318</v>
      </c>
      <c r="I36" s="197">
        <v>45238</v>
      </c>
      <c r="J36" s="197">
        <v>90151</v>
      </c>
      <c r="K36" s="197">
        <v>559</v>
      </c>
      <c r="L36" s="197">
        <v>3177</v>
      </c>
      <c r="M36" s="197">
        <v>84</v>
      </c>
      <c r="N36" s="196">
        <v>0</v>
      </c>
      <c r="O36" s="196">
        <v>0</v>
      </c>
      <c r="P36" s="196">
        <v>0</v>
      </c>
      <c r="Q36" s="196">
        <v>0</v>
      </c>
      <c r="R36" s="196">
        <v>0</v>
      </c>
      <c r="S36" s="196">
        <v>0</v>
      </c>
      <c r="T36" s="197">
        <v>18982</v>
      </c>
      <c r="U36" s="197">
        <v>652</v>
      </c>
      <c r="V36" s="197">
        <f>X36+Z36</f>
        <v>97427</v>
      </c>
      <c r="W36" s="197">
        <f aca="true" t="shared" si="14" ref="W36:W41">+Y36+AA36</f>
        <v>1296</v>
      </c>
      <c r="X36" s="197">
        <v>902</v>
      </c>
      <c r="Y36" s="197">
        <v>5</v>
      </c>
      <c r="Z36" s="197">
        <v>96525</v>
      </c>
      <c r="AA36" s="197">
        <v>1291</v>
      </c>
      <c r="AB36" s="197">
        <f t="shared" si="10"/>
        <v>1287</v>
      </c>
      <c r="AC36" s="197">
        <f t="shared" si="10"/>
        <v>154</v>
      </c>
      <c r="AD36" s="198">
        <v>967</v>
      </c>
      <c r="AE36" s="198">
        <v>150</v>
      </c>
      <c r="AF36" s="198">
        <v>320</v>
      </c>
      <c r="AG36" s="198">
        <v>4</v>
      </c>
      <c r="AH36" s="29"/>
    </row>
    <row r="37" spans="1:34" s="27" customFormat="1" ht="15.75" customHeight="1" hidden="1">
      <c r="A37" s="233" t="s">
        <v>208</v>
      </c>
      <c r="B37" s="264">
        <f t="shared" si="12"/>
        <v>5085913</v>
      </c>
      <c r="C37" s="197">
        <f t="shared" si="8"/>
        <v>51009</v>
      </c>
      <c r="D37" s="264">
        <f t="shared" si="13"/>
        <v>4981887</v>
      </c>
      <c r="E37" s="197">
        <f t="shared" si="13"/>
        <v>49421</v>
      </c>
      <c r="F37" s="197">
        <v>583932</v>
      </c>
      <c r="G37" s="197">
        <v>2195</v>
      </c>
      <c r="H37" s="197">
        <v>4240110</v>
      </c>
      <c r="I37" s="197">
        <v>45616</v>
      </c>
      <c r="J37" s="197">
        <f>135589-1</f>
        <v>135588</v>
      </c>
      <c r="K37" s="197">
        <v>867</v>
      </c>
      <c r="L37" s="197">
        <v>3177</v>
      </c>
      <c r="M37" s="197">
        <v>84</v>
      </c>
      <c r="N37" s="196">
        <v>0</v>
      </c>
      <c r="O37" s="196">
        <v>0</v>
      </c>
      <c r="P37" s="196">
        <v>0</v>
      </c>
      <c r="Q37" s="196">
        <v>0</v>
      </c>
      <c r="R37" s="196">
        <v>0</v>
      </c>
      <c r="S37" s="196">
        <v>0</v>
      </c>
      <c r="T37" s="197">
        <v>19080</v>
      </c>
      <c r="U37" s="197">
        <v>659</v>
      </c>
      <c r="V37" s="197">
        <f>X37+Z37</f>
        <v>101762</v>
      </c>
      <c r="W37" s="197">
        <f t="shared" si="14"/>
        <v>1320</v>
      </c>
      <c r="X37" s="197">
        <v>4541</v>
      </c>
      <c r="Y37" s="197">
        <v>16</v>
      </c>
      <c r="Z37" s="197">
        <v>97221</v>
      </c>
      <c r="AA37" s="197">
        <v>1304</v>
      </c>
      <c r="AB37" s="197">
        <f t="shared" si="10"/>
        <v>2264</v>
      </c>
      <c r="AC37" s="197">
        <f t="shared" si="10"/>
        <v>268</v>
      </c>
      <c r="AD37" s="198">
        <v>1940</v>
      </c>
      <c r="AE37" s="198">
        <v>262</v>
      </c>
      <c r="AF37" s="198">
        <v>324</v>
      </c>
      <c r="AG37" s="198">
        <v>6</v>
      </c>
      <c r="AH37" s="29"/>
    </row>
    <row r="38" spans="1:34" s="27" customFormat="1" ht="15.75" customHeight="1" hidden="1">
      <c r="A38" s="233" t="s">
        <v>209</v>
      </c>
      <c r="B38" s="264">
        <f t="shared" si="12"/>
        <v>5499199</v>
      </c>
      <c r="C38" s="197">
        <f aca="true" t="shared" si="15" ref="C38:C43">E38+W38+AC38</f>
        <v>53090</v>
      </c>
      <c r="D38" s="264">
        <f t="shared" si="13"/>
        <v>5393239</v>
      </c>
      <c r="E38" s="197">
        <f t="shared" si="13"/>
        <v>51404</v>
      </c>
      <c r="F38" s="197">
        <v>920657</v>
      </c>
      <c r="G38" s="197">
        <v>3520</v>
      </c>
      <c r="H38" s="197">
        <v>4272312</v>
      </c>
      <c r="I38" s="197">
        <v>45981</v>
      </c>
      <c r="J38" s="197">
        <v>177565</v>
      </c>
      <c r="K38" s="197">
        <v>1156</v>
      </c>
      <c r="L38" s="197">
        <v>3207</v>
      </c>
      <c r="M38" s="197">
        <v>85</v>
      </c>
      <c r="N38" s="196">
        <v>0</v>
      </c>
      <c r="O38" s="196">
        <v>0</v>
      </c>
      <c r="P38" s="196">
        <v>0</v>
      </c>
      <c r="Q38" s="196">
        <v>0</v>
      </c>
      <c r="R38" s="295">
        <v>340</v>
      </c>
      <c r="S38" s="295">
        <v>2</v>
      </c>
      <c r="T38" s="197">
        <v>19158</v>
      </c>
      <c r="U38" s="197">
        <v>660</v>
      </c>
      <c r="V38" s="197">
        <f>X38+Z38</f>
        <v>102604</v>
      </c>
      <c r="W38" s="197">
        <f t="shared" si="14"/>
        <v>1328</v>
      </c>
      <c r="X38" s="197">
        <v>5098</v>
      </c>
      <c r="Y38" s="197">
        <v>19</v>
      </c>
      <c r="Z38" s="197">
        <v>97506</v>
      </c>
      <c r="AA38" s="197">
        <v>1309</v>
      </c>
      <c r="AB38" s="197">
        <f t="shared" si="10"/>
        <v>3356</v>
      </c>
      <c r="AC38" s="197">
        <f t="shared" si="10"/>
        <v>358</v>
      </c>
      <c r="AD38" s="198">
        <v>2529</v>
      </c>
      <c r="AE38" s="198">
        <v>346</v>
      </c>
      <c r="AF38" s="198">
        <f>826+1</f>
        <v>827</v>
      </c>
      <c r="AG38" s="198">
        <v>12</v>
      </c>
      <c r="AH38" s="29"/>
    </row>
    <row r="39" spans="1:34" s="27" customFormat="1" ht="15.75" customHeight="1" hidden="1">
      <c r="A39" s="233" t="s">
        <v>212</v>
      </c>
      <c r="B39" s="264">
        <f t="shared" si="12"/>
        <v>5842677</v>
      </c>
      <c r="C39" s="197">
        <f t="shared" si="15"/>
        <v>54751</v>
      </c>
      <c r="D39" s="264">
        <f t="shared" si="13"/>
        <v>5731764</v>
      </c>
      <c r="E39" s="197">
        <f t="shared" si="13"/>
        <v>52927</v>
      </c>
      <c r="F39" s="197">
        <v>1198791</v>
      </c>
      <c r="G39" s="197">
        <v>4486</v>
      </c>
      <c r="H39" s="197">
        <v>4290989</v>
      </c>
      <c r="I39" s="197">
        <v>46275</v>
      </c>
      <c r="J39" s="197">
        <v>218974</v>
      </c>
      <c r="K39" s="197">
        <v>1412</v>
      </c>
      <c r="L39" s="197">
        <v>3252</v>
      </c>
      <c r="M39" s="197">
        <v>86</v>
      </c>
      <c r="N39" s="196">
        <v>0</v>
      </c>
      <c r="O39" s="196">
        <v>0</v>
      </c>
      <c r="P39" s="196">
        <v>0</v>
      </c>
      <c r="Q39" s="196">
        <v>0</v>
      </c>
      <c r="R39" s="295">
        <v>570</v>
      </c>
      <c r="S39" s="295">
        <v>4</v>
      </c>
      <c r="T39" s="197">
        <v>19188</v>
      </c>
      <c r="U39" s="197">
        <v>664</v>
      </c>
      <c r="V39" s="197">
        <f aca="true" t="shared" si="16" ref="V39:V44">X39+Z39</f>
        <v>106710</v>
      </c>
      <c r="W39" s="197">
        <f t="shared" si="14"/>
        <v>1350</v>
      </c>
      <c r="X39" s="197">
        <v>8093</v>
      </c>
      <c r="Y39" s="197">
        <v>26</v>
      </c>
      <c r="Z39" s="197">
        <v>98617</v>
      </c>
      <c r="AA39" s="197">
        <v>1324</v>
      </c>
      <c r="AB39" s="197">
        <f>AD39+AF39</f>
        <v>4203</v>
      </c>
      <c r="AC39" s="197">
        <f>AE39+AG39</f>
        <v>474</v>
      </c>
      <c r="AD39" s="198">
        <v>3364</v>
      </c>
      <c r="AE39" s="198">
        <v>460</v>
      </c>
      <c r="AF39" s="198">
        <v>839</v>
      </c>
      <c r="AG39" s="198">
        <v>14</v>
      </c>
      <c r="AH39" s="29"/>
    </row>
    <row r="40" spans="1:34" s="27" customFormat="1" ht="15.75" customHeight="1" hidden="1">
      <c r="A40" s="233" t="s">
        <v>213</v>
      </c>
      <c r="B40" s="264">
        <f t="shared" si="12"/>
        <v>6098253</v>
      </c>
      <c r="C40" s="197">
        <f t="shared" si="15"/>
        <v>56009</v>
      </c>
      <c r="D40" s="264">
        <f t="shared" si="13"/>
        <v>5982415</v>
      </c>
      <c r="E40" s="197">
        <f t="shared" si="13"/>
        <v>54014</v>
      </c>
      <c r="F40" s="197">
        <v>1420532</v>
      </c>
      <c r="G40" s="197">
        <v>5265</v>
      </c>
      <c r="H40" s="197">
        <v>4297035</v>
      </c>
      <c r="I40" s="197">
        <v>46443</v>
      </c>
      <c r="J40" s="197">
        <v>241540</v>
      </c>
      <c r="K40" s="197">
        <v>1549</v>
      </c>
      <c r="L40" s="197">
        <v>3252</v>
      </c>
      <c r="M40" s="197">
        <v>86</v>
      </c>
      <c r="N40" s="196">
        <v>0</v>
      </c>
      <c r="O40" s="196">
        <v>0</v>
      </c>
      <c r="P40" s="196">
        <v>0</v>
      </c>
      <c r="Q40" s="196">
        <v>0</v>
      </c>
      <c r="R40" s="197">
        <v>688</v>
      </c>
      <c r="S40" s="197">
        <v>6</v>
      </c>
      <c r="T40" s="197">
        <v>19368</v>
      </c>
      <c r="U40" s="197">
        <v>665</v>
      </c>
      <c r="V40" s="197">
        <f t="shared" si="16"/>
        <v>109728</v>
      </c>
      <c r="W40" s="197">
        <f t="shared" si="14"/>
        <v>1363</v>
      </c>
      <c r="X40" s="197">
        <v>10685</v>
      </c>
      <c r="Y40" s="197">
        <v>33</v>
      </c>
      <c r="Z40" s="197">
        <v>99043</v>
      </c>
      <c r="AA40" s="197">
        <v>1330</v>
      </c>
      <c r="AB40" s="197">
        <f>AD40+AF40</f>
        <v>6110</v>
      </c>
      <c r="AC40" s="197">
        <f>AE40+AG40</f>
        <v>632</v>
      </c>
      <c r="AD40" s="198">
        <v>4965</v>
      </c>
      <c r="AE40" s="198">
        <v>612</v>
      </c>
      <c r="AF40" s="198">
        <v>1145</v>
      </c>
      <c r="AG40" s="198">
        <v>20</v>
      </c>
      <c r="AH40" s="29"/>
    </row>
    <row r="41" spans="1:34" s="27" customFormat="1" ht="15.75" customHeight="1" hidden="1">
      <c r="A41" s="233" t="s">
        <v>214</v>
      </c>
      <c r="B41" s="264">
        <f t="shared" si="12"/>
        <v>6363929</v>
      </c>
      <c r="C41" s="197">
        <f t="shared" si="15"/>
        <v>57410</v>
      </c>
      <c r="D41" s="264">
        <f aca="true" t="shared" si="17" ref="D41:E43">F41+H41+J41+N41+P41+L41+R41+T41</f>
        <v>6243799</v>
      </c>
      <c r="E41" s="197">
        <f t="shared" si="17"/>
        <v>55215</v>
      </c>
      <c r="F41" s="197">
        <v>1670495</v>
      </c>
      <c r="G41" s="197">
        <v>6322</v>
      </c>
      <c r="H41" s="197">
        <v>4297765</v>
      </c>
      <c r="I41" s="197">
        <v>46519</v>
      </c>
      <c r="J41" s="197">
        <v>252287</v>
      </c>
      <c r="K41" s="197">
        <v>1614</v>
      </c>
      <c r="L41" s="197">
        <v>3252</v>
      </c>
      <c r="M41" s="197">
        <v>86</v>
      </c>
      <c r="N41" s="196">
        <v>0</v>
      </c>
      <c r="O41" s="196">
        <v>0</v>
      </c>
      <c r="P41" s="196">
        <v>0</v>
      </c>
      <c r="Q41" s="196">
        <v>0</v>
      </c>
      <c r="R41" s="197">
        <v>688</v>
      </c>
      <c r="S41" s="197">
        <v>6</v>
      </c>
      <c r="T41" s="197">
        <v>19312</v>
      </c>
      <c r="U41" s="197">
        <v>668</v>
      </c>
      <c r="V41" s="197">
        <f t="shared" si="16"/>
        <v>111630</v>
      </c>
      <c r="W41" s="197">
        <f t="shared" si="14"/>
        <v>1381</v>
      </c>
      <c r="X41" s="197">
        <v>12223</v>
      </c>
      <c r="Y41" s="197">
        <v>42</v>
      </c>
      <c r="Z41" s="197">
        <v>99407</v>
      </c>
      <c r="AA41" s="197">
        <v>1339</v>
      </c>
      <c r="AB41" s="197">
        <f aca="true" t="shared" si="18" ref="AB41:AC43">AD41+AF41</f>
        <v>8500</v>
      </c>
      <c r="AC41" s="197">
        <f t="shared" si="18"/>
        <v>814</v>
      </c>
      <c r="AD41" s="198">
        <v>7355</v>
      </c>
      <c r="AE41" s="198">
        <v>794</v>
      </c>
      <c r="AF41" s="198">
        <v>1145</v>
      </c>
      <c r="AG41" s="198">
        <v>20</v>
      </c>
      <c r="AH41" s="29"/>
    </row>
    <row r="42" spans="1:34" s="27" customFormat="1" ht="15.75" customHeight="1" hidden="1">
      <c r="A42" s="233" t="s">
        <v>215</v>
      </c>
      <c r="B42" s="264">
        <f aca="true" t="shared" si="19" ref="B42:B47">D42+V42+AB42</f>
        <v>11433434</v>
      </c>
      <c r="C42" s="197">
        <f t="shared" si="15"/>
        <v>107382</v>
      </c>
      <c r="D42" s="264">
        <f t="shared" si="17"/>
        <v>11305242</v>
      </c>
      <c r="E42" s="197">
        <f t="shared" si="17"/>
        <v>104954</v>
      </c>
      <c r="F42" s="197">
        <v>2104836</v>
      </c>
      <c r="G42" s="197">
        <v>7468</v>
      </c>
      <c r="H42" s="197">
        <v>8805081</v>
      </c>
      <c r="I42" s="197">
        <v>93697</v>
      </c>
      <c r="J42" s="197">
        <f>348133-1</f>
        <v>348132</v>
      </c>
      <c r="K42" s="197">
        <v>2244</v>
      </c>
      <c r="L42" s="197">
        <v>6564</v>
      </c>
      <c r="M42" s="197">
        <v>172</v>
      </c>
      <c r="N42" s="196">
        <v>0</v>
      </c>
      <c r="O42" s="196">
        <v>0</v>
      </c>
      <c r="P42" s="196">
        <v>0</v>
      </c>
      <c r="Q42" s="196">
        <v>0</v>
      </c>
      <c r="R42" s="197">
        <v>776</v>
      </c>
      <c r="S42" s="197">
        <v>7</v>
      </c>
      <c r="T42" s="197">
        <v>39853</v>
      </c>
      <c r="U42" s="197">
        <v>1366</v>
      </c>
      <c r="V42" s="197">
        <f t="shared" si="16"/>
        <v>117455</v>
      </c>
      <c r="W42" s="197">
        <f aca="true" t="shared" si="20" ref="W42:W47">+Y42+AA42</f>
        <v>1403</v>
      </c>
      <c r="X42" s="197">
        <v>17255</v>
      </c>
      <c r="Y42" s="197">
        <v>53</v>
      </c>
      <c r="Z42" s="197">
        <v>100200</v>
      </c>
      <c r="AA42" s="197">
        <v>1350</v>
      </c>
      <c r="AB42" s="197">
        <f t="shared" si="18"/>
        <v>10737</v>
      </c>
      <c r="AC42" s="197">
        <f t="shared" si="18"/>
        <v>1025</v>
      </c>
      <c r="AD42" s="198">
        <v>8916</v>
      </c>
      <c r="AE42" s="198">
        <v>995</v>
      </c>
      <c r="AF42" s="198">
        <v>1821</v>
      </c>
      <c r="AG42" s="198">
        <v>30</v>
      </c>
      <c r="AH42" s="29"/>
    </row>
    <row r="43" spans="1:34" s="27" customFormat="1" ht="15.75" customHeight="1" hidden="1">
      <c r="A43" s="233" t="s">
        <v>216</v>
      </c>
      <c r="B43" s="264">
        <f t="shared" si="19"/>
        <v>11843634</v>
      </c>
      <c r="C43" s="197">
        <f t="shared" si="15"/>
        <v>109119</v>
      </c>
      <c r="D43" s="264">
        <f>F43+H43+J43+N43+P43+L43+R43+T43</f>
        <v>11709712</v>
      </c>
      <c r="E43" s="197">
        <f t="shared" si="17"/>
        <v>106532</v>
      </c>
      <c r="F43" s="197">
        <v>2420340</v>
      </c>
      <c r="G43" s="197">
        <v>8403</v>
      </c>
      <c r="H43" s="197">
        <v>8851236</v>
      </c>
      <c r="I43" s="197">
        <v>94081</v>
      </c>
      <c r="J43" s="197">
        <f>390565-1</f>
        <v>390564</v>
      </c>
      <c r="K43" s="197">
        <v>2492</v>
      </c>
      <c r="L43" s="197">
        <v>6660</v>
      </c>
      <c r="M43" s="197">
        <v>173</v>
      </c>
      <c r="N43" s="196">
        <v>0</v>
      </c>
      <c r="O43" s="196">
        <v>0</v>
      </c>
      <c r="P43" s="196">
        <v>0</v>
      </c>
      <c r="Q43" s="196">
        <v>0</v>
      </c>
      <c r="R43" s="197">
        <v>776</v>
      </c>
      <c r="S43" s="197">
        <v>7</v>
      </c>
      <c r="T43" s="197">
        <v>40136</v>
      </c>
      <c r="U43" s="197">
        <v>1376</v>
      </c>
      <c r="V43" s="197">
        <f t="shared" si="16"/>
        <v>122091</v>
      </c>
      <c r="W43" s="197">
        <f t="shared" si="20"/>
        <v>1419</v>
      </c>
      <c r="X43" s="197">
        <v>21474</v>
      </c>
      <c r="Y43" s="197">
        <v>59</v>
      </c>
      <c r="Z43" s="197">
        <v>100617</v>
      </c>
      <c r="AA43" s="197">
        <v>1360</v>
      </c>
      <c r="AB43" s="197">
        <f t="shared" si="18"/>
        <v>11831</v>
      </c>
      <c r="AC43" s="197">
        <f t="shared" si="18"/>
        <v>1168</v>
      </c>
      <c r="AD43" s="198">
        <v>10010</v>
      </c>
      <c r="AE43" s="198">
        <v>1138</v>
      </c>
      <c r="AF43" s="198">
        <v>1821</v>
      </c>
      <c r="AG43" s="198">
        <v>30</v>
      </c>
      <c r="AH43" s="29"/>
    </row>
    <row r="44" spans="1:34" s="27" customFormat="1" ht="15.75" customHeight="1" hidden="1">
      <c r="A44" s="233" t="s">
        <v>217</v>
      </c>
      <c r="B44" s="264">
        <f t="shared" si="19"/>
        <v>12369397</v>
      </c>
      <c r="C44" s="197">
        <f>E44+W44+AC44</f>
        <v>111585</v>
      </c>
      <c r="D44" s="264">
        <f>F44+H44+J44+N44+P44+L44+R44+T44</f>
        <v>12232865</v>
      </c>
      <c r="E44" s="197">
        <f>G44+I44+K44+O44+Q44+M44+S44+U44</f>
        <v>108758</v>
      </c>
      <c r="F44" s="197">
        <v>2882141</v>
      </c>
      <c r="G44" s="197">
        <v>10153</v>
      </c>
      <c r="H44" s="197">
        <v>8877612</v>
      </c>
      <c r="I44" s="197">
        <v>94347</v>
      </c>
      <c r="J44" s="197">
        <v>425444</v>
      </c>
      <c r="K44" s="197">
        <v>2697</v>
      </c>
      <c r="L44" s="197">
        <v>6660</v>
      </c>
      <c r="M44" s="197">
        <v>173</v>
      </c>
      <c r="N44" s="196">
        <v>0</v>
      </c>
      <c r="O44" s="196">
        <v>0</v>
      </c>
      <c r="P44" s="196">
        <v>0</v>
      </c>
      <c r="Q44" s="196">
        <v>0</v>
      </c>
      <c r="R44" s="197">
        <v>804</v>
      </c>
      <c r="S44" s="197">
        <v>8</v>
      </c>
      <c r="T44" s="197">
        <v>40204</v>
      </c>
      <c r="U44" s="197">
        <v>1380</v>
      </c>
      <c r="V44" s="197">
        <f t="shared" si="16"/>
        <v>123362</v>
      </c>
      <c r="W44" s="197">
        <f t="shared" si="20"/>
        <v>1428</v>
      </c>
      <c r="X44" s="197">
        <v>22570</v>
      </c>
      <c r="Y44" s="197">
        <v>63</v>
      </c>
      <c r="Z44" s="197">
        <v>100792</v>
      </c>
      <c r="AA44" s="197">
        <v>1365</v>
      </c>
      <c r="AB44" s="197">
        <f aca="true" t="shared" si="21" ref="AB44:AC47">AD44+AF44</f>
        <v>13170</v>
      </c>
      <c r="AC44" s="197">
        <f t="shared" si="21"/>
        <v>1399</v>
      </c>
      <c r="AD44" s="198">
        <v>11349</v>
      </c>
      <c r="AE44" s="198">
        <v>1369</v>
      </c>
      <c r="AF44" s="198">
        <v>1821</v>
      </c>
      <c r="AG44" s="198">
        <v>30</v>
      </c>
      <c r="AH44" s="29"/>
    </row>
    <row r="45" spans="1:34" s="27" customFormat="1" ht="15.75" customHeight="1" hidden="1">
      <c r="A45" s="233" t="s">
        <v>218</v>
      </c>
      <c r="B45" s="264">
        <f t="shared" si="19"/>
        <v>12754888</v>
      </c>
      <c r="C45" s="197">
        <f>E45+W45+AC45</f>
        <v>113398</v>
      </c>
      <c r="D45" s="264">
        <f>F45+H45+J45+N45+P45+L45+R45+T45</f>
        <v>12613831</v>
      </c>
      <c r="E45" s="197">
        <f>G45+I45+K45+O45+Q45+M45+S45+U45</f>
        <v>110341</v>
      </c>
      <c r="F45" s="197">
        <v>3239701</v>
      </c>
      <c r="G45" s="197">
        <v>11496</v>
      </c>
      <c r="H45" s="197">
        <v>8887229</v>
      </c>
      <c r="I45" s="197">
        <v>94491</v>
      </c>
      <c r="J45" s="197">
        <v>439233</v>
      </c>
      <c r="K45" s="197">
        <v>2793</v>
      </c>
      <c r="L45" s="197">
        <v>6660</v>
      </c>
      <c r="M45" s="197">
        <v>173</v>
      </c>
      <c r="N45" s="196">
        <v>0</v>
      </c>
      <c r="O45" s="196">
        <v>0</v>
      </c>
      <c r="P45" s="196">
        <v>0</v>
      </c>
      <c r="Q45" s="196">
        <v>0</v>
      </c>
      <c r="R45" s="197">
        <v>804</v>
      </c>
      <c r="S45" s="197">
        <v>8</v>
      </c>
      <c r="T45" s="197">
        <v>40204</v>
      </c>
      <c r="U45" s="197">
        <v>1380</v>
      </c>
      <c r="V45" s="197">
        <f>X45+Z45</f>
        <v>126666</v>
      </c>
      <c r="W45" s="197">
        <f t="shared" si="20"/>
        <v>1448</v>
      </c>
      <c r="X45" s="197">
        <v>25593</v>
      </c>
      <c r="Y45" s="197">
        <v>72</v>
      </c>
      <c r="Z45" s="197">
        <v>101073</v>
      </c>
      <c r="AA45" s="197">
        <v>1376</v>
      </c>
      <c r="AB45" s="197">
        <f t="shared" si="21"/>
        <v>14391</v>
      </c>
      <c r="AC45" s="197">
        <f t="shared" si="21"/>
        <v>1609</v>
      </c>
      <c r="AD45" s="198">
        <v>12569</v>
      </c>
      <c r="AE45" s="198">
        <v>1579</v>
      </c>
      <c r="AF45" s="198">
        <f>1821+1</f>
        <v>1822</v>
      </c>
      <c r="AG45" s="198">
        <v>30</v>
      </c>
      <c r="AH45" s="29"/>
    </row>
    <row r="46" spans="1:34" s="27" customFormat="1" ht="15.75" customHeight="1" hidden="1">
      <c r="A46" s="233" t="s">
        <v>219</v>
      </c>
      <c r="B46" s="264">
        <f t="shared" si="19"/>
        <v>13148437</v>
      </c>
      <c r="C46" s="197">
        <f>E46+W46+AC46</f>
        <v>115680</v>
      </c>
      <c r="D46" s="264">
        <f>F46+H46+J46+N46+P46+L46+R46+T46</f>
        <v>13004311</v>
      </c>
      <c r="E46" s="197">
        <f>G46+I46+K46+O46+Q46+M46+S46+U46</f>
        <v>112386</v>
      </c>
      <c r="F46" s="197">
        <v>3530500</v>
      </c>
      <c r="G46" s="197">
        <v>12579</v>
      </c>
      <c r="H46" s="197">
        <v>8913039</v>
      </c>
      <c r="I46" s="197">
        <v>95033</v>
      </c>
      <c r="J46" s="197">
        <v>513025</v>
      </c>
      <c r="K46" s="197">
        <v>3212</v>
      </c>
      <c r="L46" s="197">
        <v>6660</v>
      </c>
      <c r="M46" s="197">
        <v>173</v>
      </c>
      <c r="N46" s="196">
        <v>0</v>
      </c>
      <c r="O46" s="196">
        <v>0</v>
      </c>
      <c r="P46" s="196">
        <v>0</v>
      </c>
      <c r="Q46" s="196">
        <v>0</v>
      </c>
      <c r="R46" s="197">
        <v>804</v>
      </c>
      <c r="S46" s="197">
        <v>8</v>
      </c>
      <c r="T46" s="197">
        <v>40283</v>
      </c>
      <c r="U46" s="197">
        <v>1381</v>
      </c>
      <c r="V46" s="197">
        <f>X46+Z46</f>
        <v>128114</v>
      </c>
      <c r="W46" s="197">
        <f t="shared" si="20"/>
        <v>1461</v>
      </c>
      <c r="X46" s="197">
        <v>26917</v>
      </c>
      <c r="Y46" s="197">
        <v>78</v>
      </c>
      <c r="Z46" s="197">
        <v>101197</v>
      </c>
      <c r="AA46" s="197">
        <v>1383</v>
      </c>
      <c r="AB46" s="197">
        <f t="shared" si="21"/>
        <v>16012</v>
      </c>
      <c r="AC46" s="197">
        <f t="shared" si="21"/>
        <v>1833</v>
      </c>
      <c r="AD46" s="198">
        <v>14191</v>
      </c>
      <c r="AE46" s="198">
        <v>1803</v>
      </c>
      <c r="AF46" s="198">
        <f>1821</f>
        <v>1821</v>
      </c>
      <c r="AG46" s="198">
        <v>30</v>
      </c>
      <c r="AH46" s="29"/>
    </row>
    <row r="47" spans="1:34" s="27" customFormat="1" ht="15.75" customHeight="1" hidden="1">
      <c r="A47" s="233" t="s">
        <v>220</v>
      </c>
      <c r="B47" s="264">
        <f t="shared" si="19"/>
        <v>13622218</v>
      </c>
      <c r="C47" s="197">
        <f>E47+W47+AC47</f>
        <v>118049</v>
      </c>
      <c r="D47" s="264">
        <f>F47+H47+J47+N47+P47+L47+R47+T47</f>
        <v>13473071</v>
      </c>
      <c r="E47" s="197">
        <f>G47+I47+K47+O47+Q47+M47+S47+U47</f>
        <v>114518</v>
      </c>
      <c r="F47" s="197">
        <f>3925367+1</f>
        <v>3925368</v>
      </c>
      <c r="G47" s="197">
        <v>13925</v>
      </c>
      <c r="H47" s="197">
        <v>8916841</v>
      </c>
      <c r="I47" s="197">
        <v>95443</v>
      </c>
      <c r="J47" s="197">
        <v>582223</v>
      </c>
      <c r="K47" s="197">
        <v>3586</v>
      </c>
      <c r="L47" s="197">
        <v>6660</v>
      </c>
      <c r="M47" s="197">
        <v>173</v>
      </c>
      <c r="N47" s="196">
        <v>0</v>
      </c>
      <c r="O47" s="196">
        <v>0</v>
      </c>
      <c r="P47" s="196">
        <v>0</v>
      </c>
      <c r="Q47" s="196">
        <v>0</v>
      </c>
      <c r="R47" s="197">
        <v>1696</v>
      </c>
      <c r="S47" s="197">
        <v>10</v>
      </c>
      <c r="T47" s="197">
        <v>40283</v>
      </c>
      <c r="U47" s="197">
        <v>1381</v>
      </c>
      <c r="V47" s="197">
        <f>X47+Z47</f>
        <v>131577</v>
      </c>
      <c r="W47" s="197">
        <f t="shared" si="20"/>
        <v>1472</v>
      </c>
      <c r="X47" s="197">
        <v>30124</v>
      </c>
      <c r="Y47" s="197">
        <v>83</v>
      </c>
      <c r="Z47" s="197">
        <v>101453</v>
      </c>
      <c r="AA47" s="197">
        <v>1389</v>
      </c>
      <c r="AB47" s="197">
        <f t="shared" si="21"/>
        <v>17570</v>
      </c>
      <c r="AC47" s="197">
        <f t="shared" si="21"/>
        <v>2059</v>
      </c>
      <c r="AD47" s="198">
        <v>15526</v>
      </c>
      <c r="AE47" s="198">
        <v>2025</v>
      </c>
      <c r="AF47" s="198">
        <v>2044</v>
      </c>
      <c r="AG47" s="198">
        <v>34</v>
      </c>
      <c r="AH47" s="29"/>
    </row>
    <row r="48" spans="1:34" s="27" customFormat="1" ht="15.75" customHeight="1">
      <c r="A48" s="273" t="s">
        <v>221</v>
      </c>
      <c r="B48" s="275"/>
      <c r="C48" s="275"/>
      <c r="D48" s="275"/>
      <c r="E48" s="275"/>
      <c r="F48" s="275"/>
      <c r="G48" s="275"/>
      <c r="H48" s="275"/>
      <c r="I48" s="275"/>
      <c r="J48" s="275"/>
      <c r="K48" s="275"/>
      <c r="L48" s="275"/>
      <c r="M48" s="275"/>
      <c r="N48" s="196"/>
      <c r="O48" s="196"/>
      <c r="P48" s="196"/>
      <c r="Q48" s="196"/>
      <c r="R48" s="275"/>
      <c r="S48" s="275"/>
      <c r="T48" s="275"/>
      <c r="U48" s="275"/>
      <c r="V48" s="197"/>
      <c r="W48" s="197"/>
      <c r="X48" s="275"/>
      <c r="Y48" s="275"/>
      <c r="Z48" s="275"/>
      <c r="AA48" s="275"/>
      <c r="AB48" s="197"/>
      <c r="AC48" s="197"/>
      <c r="AD48" s="275"/>
      <c r="AE48" s="275"/>
      <c r="AF48" s="275"/>
      <c r="AG48" s="275"/>
      <c r="AH48" s="29"/>
    </row>
    <row r="49" spans="1:34" s="360" customFormat="1" ht="15.75" customHeight="1">
      <c r="A49" s="355" t="s">
        <v>222</v>
      </c>
      <c r="B49" s="356">
        <f aca="true" t="shared" si="22" ref="B49:C51">D49+V49+AB49</f>
        <v>5312698</v>
      </c>
      <c r="C49" s="352">
        <f t="shared" si="22"/>
        <v>53031</v>
      </c>
      <c r="D49" s="356">
        <f aca="true" t="shared" si="23" ref="D49:E51">F49+H49+J49+N49+P49+L49+R49+T49</f>
        <v>5208015</v>
      </c>
      <c r="E49" s="352">
        <f t="shared" si="23"/>
        <v>51486</v>
      </c>
      <c r="F49" s="352">
        <v>273242</v>
      </c>
      <c r="G49" s="352">
        <v>1045</v>
      </c>
      <c r="H49" s="352">
        <v>4846279</v>
      </c>
      <c r="I49" s="352">
        <v>49215</v>
      </c>
      <c r="J49" s="352">
        <v>62191</v>
      </c>
      <c r="K49" s="352">
        <v>391</v>
      </c>
      <c r="L49" s="352">
        <v>3450</v>
      </c>
      <c r="M49" s="352">
        <v>86</v>
      </c>
      <c r="N49" s="196">
        <v>0</v>
      </c>
      <c r="O49" s="196">
        <v>0</v>
      </c>
      <c r="P49" s="196">
        <v>0</v>
      </c>
      <c r="Q49" s="196">
        <v>0</v>
      </c>
      <c r="R49" s="352">
        <v>56</v>
      </c>
      <c r="S49" s="352">
        <v>1</v>
      </c>
      <c r="T49" s="352">
        <v>22797</v>
      </c>
      <c r="U49" s="352">
        <v>748</v>
      </c>
      <c r="V49" s="352">
        <f aca="true" t="shared" si="24" ref="V49:V61">X49+Z49</f>
        <v>101848</v>
      </c>
      <c r="W49" s="352">
        <f aca="true" t="shared" si="25" ref="W49:W60">+Y49+AA49</f>
        <v>1309</v>
      </c>
      <c r="X49" s="352">
        <v>1091</v>
      </c>
      <c r="Y49" s="352">
        <v>5</v>
      </c>
      <c r="Z49" s="352">
        <v>100757</v>
      </c>
      <c r="AA49" s="352">
        <v>1304</v>
      </c>
      <c r="AB49" s="352">
        <f aca="true" t="shared" si="26" ref="AB49:AC52">AD49+AF49</f>
        <v>2835</v>
      </c>
      <c r="AC49" s="352">
        <f t="shared" si="26"/>
        <v>236</v>
      </c>
      <c r="AD49" s="358">
        <v>1490</v>
      </c>
      <c r="AE49" s="358">
        <v>224</v>
      </c>
      <c r="AF49" s="358">
        <v>1345</v>
      </c>
      <c r="AG49" s="358">
        <v>12</v>
      </c>
      <c r="AH49" s="359"/>
    </row>
    <row r="50" spans="1:34" s="360" customFormat="1" ht="15.75" customHeight="1">
      <c r="A50" s="355" t="s">
        <v>224</v>
      </c>
      <c r="B50" s="356">
        <f t="shared" si="22"/>
        <v>258168</v>
      </c>
      <c r="C50" s="352">
        <f t="shared" si="22"/>
        <v>1343</v>
      </c>
      <c r="D50" s="356">
        <f t="shared" si="23"/>
        <v>254339</v>
      </c>
      <c r="E50" s="352">
        <f t="shared" si="23"/>
        <v>1147</v>
      </c>
      <c r="F50" s="352">
        <v>203086</v>
      </c>
      <c r="G50" s="352">
        <v>731</v>
      </c>
      <c r="H50" s="352">
        <v>25860</v>
      </c>
      <c r="I50" s="352">
        <v>236</v>
      </c>
      <c r="J50" s="352">
        <v>25094</v>
      </c>
      <c r="K50" s="352">
        <v>163</v>
      </c>
      <c r="L50" s="352">
        <v>0</v>
      </c>
      <c r="M50" s="352">
        <v>0</v>
      </c>
      <c r="N50" s="196">
        <v>0</v>
      </c>
      <c r="O50" s="196">
        <v>0</v>
      </c>
      <c r="P50" s="196">
        <v>0</v>
      </c>
      <c r="Q50" s="196">
        <v>0</v>
      </c>
      <c r="R50" s="196">
        <v>0</v>
      </c>
      <c r="S50" s="196">
        <v>0</v>
      </c>
      <c r="T50" s="352">
        <v>299</v>
      </c>
      <c r="U50" s="352">
        <v>17</v>
      </c>
      <c r="V50" s="352">
        <f t="shared" si="24"/>
        <v>2042</v>
      </c>
      <c r="W50" s="352">
        <f t="shared" si="25"/>
        <v>14</v>
      </c>
      <c r="X50" s="352">
        <v>1547</v>
      </c>
      <c r="Y50" s="352">
        <v>4</v>
      </c>
      <c r="Z50" s="352">
        <v>495</v>
      </c>
      <c r="AA50" s="352">
        <v>10</v>
      </c>
      <c r="AB50" s="352">
        <f t="shared" si="26"/>
        <v>1787</v>
      </c>
      <c r="AC50" s="352">
        <f t="shared" si="26"/>
        <v>182</v>
      </c>
      <c r="AD50" s="358">
        <v>1197</v>
      </c>
      <c r="AE50" s="358">
        <v>180</v>
      </c>
      <c r="AF50" s="358">
        <v>590</v>
      </c>
      <c r="AG50" s="358">
        <v>2</v>
      </c>
      <c r="AH50" s="359"/>
    </row>
    <row r="51" spans="1:34" s="360" customFormat="1" ht="15.75" customHeight="1">
      <c r="A51" s="355" t="s">
        <v>226</v>
      </c>
      <c r="B51" s="356">
        <f t="shared" si="22"/>
        <v>304978</v>
      </c>
      <c r="C51" s="352">
        <f t="shared" si="22"/>
        <v>1765</v>
      </c>
      <c r="D51" s="356">
        <f t="shared" si="23"/>
        <v>296876</v>
      </c>
      <c r="E51" s="352">
        <f t="shared" si="23"/>
        <v>1559</v>
      </c>
      <c r="F51" s="352">
        <v>260852</v>
      </c>
      <c r="G51" s="352">
        <v>1235</v>
      </c>
      <c r="H51" s="352">
        <v>15919</v>
      </c>
      <c r="I51" s="352">
        <v>180</v>
      </c>
      <c r="J51" s="352">
        <v>19868</v>
      </c>
      <c r="K51" s="352">
        <v>131</v>
      </c>
      <c r="L51" s="352">
        <v>0</v>
      </c>
      <c r="M51" s="352">
        <v>0</v>
      </c>
      <c r="N51" s="196">
        <v>0</v>
      </c>
      <c r="O51" s="196">
        <v>0</v>
      </c>
      <c r="P51" s="196">
        <v>0</v>
      </c>
      <c r="Q51" s="196">
        <v>0</v>
      </c>
      <c r="R51" s="196">
        <v>112</v>
      </c>
      <c r="S51" s="196">
        <v>1</v>
      </c>
      <c r="T51" s="352">
        <v>125</v>
      </c>
      <c r="U51" s="352">
        <v>12</v>
      </c>
      <c r="V51" s="352">
        <f t="shared" si="24"/>
        <v>5524</v>
      </c>
      <c r="W51" s="352">
        <f t="shared" si="25"/>
        <v>22</v>
      </c>
      <c r="X51" s="352">
        <v>4431</v>
      </c>
      <c r="Y51" s="352">
        <v>11</v>
      </c>
      <c r="Z51" s="352">
        <v>1093</v>
      </c>
      <c r="AA51" s="352">
        <v>11</v>
      </c>
      <c r="AB51" s="352">
        <f t="shared" si="26"/>
        <v>2578</v>
      </c>
      <c r="AC51" s="352">
        <f t="shared" si="26"/>
        <v>184</v>
      </c>
      <c r="AD51" s="358">
        <v>1190</v>
      </c>
      <c r="AE51" s="358">
        <v>180</v>
      </c>
      <c r="AF51" s="358">
        <v>1388</v>
      </c>
      <c r="AG51" s="358">
        <v>4</v>
      </c>
      <c r="AH51" s="359"/>
    </row>
    <row r="52" spans="1:34" s="360" customFormat="1" ht="15.75" customHeight="1">
      <c r="A52" s="355" t="s">
        <v>227</v>
      </c>
      <c r="B52" s="356">
        <f>D52+V52+AB52</f>
        <v>318902</v>
      </c>
      <c r="C52" s="352">
        <f>E52+W52+AC52</f>
        <v>1616</v>
      </c>
      <c r="D52" s="356">
        <f>F52+H52+J52+N52+P52+L52+R52+T52</f>
        <v>314105</v>
      </c>
      <c r="E52" s="352">
        <f>G52+I52+K52+O52+Q52+M52+S52+U52</f>
        <v>1386</v>
      </c>
      <c r="F52" s="352">
        <v>281559</v>
      </c>
      <c r="G52" s="352">
        <v>1089</v>
      </c>
      <c r="H52" s="352">
        <v>11616</v>
      </c>
      <c r="I52" s="352">
        <v>173</v>
      </c>
      <c r="J52" s="352">
        <v>20842</v>
      </c>
      <c r="K52" s="352">
        <v>121</v>
      </c>
      <c r="L52" s="352">
        <v>0</v>
      </c>
      <c r="M52" s="352">
        <v>0</v>
      </c>
      <c r="N52" s="196">
        <v>0</v>
      </c>
      <c r="O52" s="196">
        <v>0</v>
      </c>
      <c r="P52" s="196">
        <v>0</v>
      </c>
      <c r="Q52" s="196">
        <v>0</v>
      </c>
      <c r="R52" s="196">
        <v>24</v>
      </c>
      <c r="S52" s="196">
        <v>1</v>
      </c>
      <c r="T52" s="352">
        <v>64</v>
      </c>
      <c r="U52" s="352">
        <v>2</v>
      </c>
      <c r="V52" s="352">
        <f t="shared" si="24"/>
        <v>2959</v>
      </c>
      <c r="W52" s="352">
        <f t="shared" si="25"/>
        <v>12</v>
      </c>
      <c r="X52" s="352">
        <v>2434</v>
      </c>
      <c r="Y52" s="352">
        <v>4</v>
      </c>
      <c r="Z52" s="352">
        <v>525</v>
      </c>
      <c r="AA52" s="352">
        <v>8</v>
      </c>
      <c r="AB52" s="352">
        <f t="shared" si="26"/>
        <v>1838</v>
      </c>
      <c r="AC52" s="352">
        <f t="shared" si="26"/>
        <v>218</v>
      </c>
      <c r="AD52" s="358">
        <v>1838</v>
      </c>
      <c r="AE52" s="358">
        <v>218</v>
      </c>
      <c r="AF52" s="358">
        <v>0</v>
      </c>
      <c r="AG52" s="358">
        <v>0</v>
      </c>
      <c r="AH52" s="359"/>
    </row>
    <row r="53" spans="1:34" s="360" customFormat="1" ht="15.75" customHeight="1">
      <c r="A53" s="355" t="s">
        <v>228</v>
      </c>
      <c r="B53" s="356">
        <f>D53+V53+AB53</f>
        <v>172159</v>
      </c>
      <c r="C53" s="352">
        <f>E53+W53+AC53</f>
        <v>956</v>
      </c>
      <c r="D53" s="356">
        <f>F53+H53+J53+N53+P53+L53+R53+T53</f>
        <v>164488</v>
      </c>
      <c r="E53" s="352">
        <f>G53+I53+K53+O53+Q53+M53+S53+U53</f>
        <v>791</v>
      </c>
      <c r="F53" s="352">
        <v>150854</v>
      </c>
      <c r="G53" s="352">
        <v>613</v>
      </c>
      <c r="H53" s="352">
        <v>4031</v>
      </c>
      <c r="I53" s="352">
        <v>107</v>
      </c>
      <c r="J53" s="352">
        <v>9458</v>
      </c>
      <c r="K53" s="352">
        <v>69</v>
      </c>
      <c r="L53" s="352">
        <v>0</v>
      </c>
      <c r="M53" s="352">
        <v>0</v>
      </c>
      <c r="N53" s="196">
        <v>0</v>
      </c>
      <c r="O53" s="196">
        <v>0</v>
      </c>
      <c r="P53" s="196">
        <v>0</v>
      </c>
      <c r="Q53" s="196">
        <v>0</v>
      </c>
      <c r="R53" s="196">
        <v>145</v>
      </c>
      <c r="S53" s="196">
        <v>2</v>
      </c>
      <c r="T53" s="352">
        <v>0</v>
      </c>
      <c r="U53" s="352">
        <v>0</v>
      </c>
      <c r="V53" s="352">
        <f aca="true" t="shared" si="27" ref="V53:V59">X53+Z53</f>
        <v>5381</v>
      </c>
      <c r="W53" s="352">
        <f t="shared" si="25"/>
        <v>15</v>
      </c>
      <c r="X53" s="352">
        <v>4502</v>
      </c>
      <c r="Y53" s="352">
        <v>7</v>
      </c>
      <c r="Z53" s="352">
        <v>879</v>
      </c>
      <c r="AA53" s="352">
        <v>8</v>
      </c>
      <c r="AB53" s="352">
        <f aca="true" t="shared" si="28" ref="AB53:AC56">AD53+AF53</f>
        <v>2290</v>
      </c>
      <c r="AC53" s="352">
        <f t="shared" si="28"/>
        <v>150</v>
      </c>
      <c r="AD53" s="358">
        <v>857</v>
      </c>
      <c r="AE53" s="358">
        <v>144</v>
      </c>
      <c r="AF53" s="358">
        <v>1433</v>
      </c>
      <c r="AG53" s="358">
        <v>6</v>
      </c>
      <c r="AH53" s="359"/>
    </row>
    <row r="54" spans="1:34" s="360" customFormat="1" ht="15.75" customHeight="1">
      <c r="A54" s="355" t="s">
        <v>230</v>
      </c>
      <c r="B54" s="356">
        <f aca="true" t="shared" si="29" ref="B54:C57">D54+V54+AB54</f>
        <v>156347</v>
      </c>
      <c r="C54" s="352">
        <f t="shared" si="29"/>
        <v>824</v>
      </c>
      <c r="D54" s="356">
        <f aca="true" t="shared" si="30" ref="D54:E57">F54+H54+J54+N54+P54+L54+R54+T54</f>
        <v>153817</v>
      </c>
      <c r="E54" s="352">
        <f t="shared" si="30"/>
        <v>665</v>
      </c>
      <c r="F54" s="352">
        <v>148639</v>
      </c>
      <c r="G54" s="352">
        <v>570</v>
      </c>
      <c r="H54" s="352">
        <v>277</v>
      </c>
      <c r="I54" s="352">
        <v>59</v>
      </c>
      <c r="J54" s="352">
        <v>4715</v>
      </c>
      <c r="K54" s="352">
        <v>32</v>
      </c>
      <c r="L54" s="352">
        <v>0</v>
      </c>
      <c r="M54" s="352">
        <v>0</v>
      </c>
      <c r="N54" s="196">
        <v>0</v>
      </c>
      <c r="O54" s="196">
        <v>0</v>
      </c>
      <c r="P54" s="196">
        <v>0</v>
      </c>
      <c r="Q54" s="196">
        <v>0</v>
      </c>
      <c r="R54" s="196">
        <v>210</v>
      </c>
      <c r="S54" s="196">
        <v>1</v>
      </c>
      <c r="T54" s="352">
        <v>-24</v>
      </c>
      <c r="U54" s="352">
        <v>3</v>
      </c>
      <c r="V54" s="352">
        <f t="shared" si="27"/>
        <v>1656</v>
      </c>
      <c r="W54" s="352">
        <f aca="true" t="shared" si="31" ref="W54:W59">+Y54+AA54</f>
        <v>13</v>
      </c>
      <c r="X54" s="352">
        <v>1342</v>
      </c>
      <c r="Y54" s="352">
        <v>6</v>
      </c>
      <c r="Z54" s="352">
        <v>314</v>
      </c>
      <c r="AA54" s="352">
        <v>7</v>
      </c>
      <c r="AB54" s="352">
        <f t="shared" si="28"/>
        <v>874</v>
      </c>
      <c r="AC54" s="352">
        <f t="shared" si="28"/>
        <v>146</v>
      </c>
      <c r="AD54" s="358">
        <v>853</v>
      </c>
      <c r="AE54" s="358">
        <v>144</v>
      </c>
      <c r="AF54" s="358">
        <v>21</v>
      </c>
      <c r="AG54" s="358">
        <v>2</v>
      </c>
      <c r="AH54" s="359"/>
    </row>
    <row r="55" spans="1:34" s="360" customFormat="1" ht="15.75" customHeight="1">
      <c r="A55" s="355" t="s">
        <v>231</v>
      </c>
      <c r="B55" s="356">
        <f t="shared" si="29"/>
        <v>5421399</v>
      </c>
      <c r="C55" s="352">
        <f t="shared" si="29"/>
        <v>52574</v>
      </c>
      <c r="D55" s="356">
        <f t="shared" si="30"/>
        <v>5418523</v>
      </c>
      <c r="E55" s="352">
        <f t="shared" si="30"/>
        <v>52431</v>
      </c>
      <c r="F55" s="352">
        <v>282354</v>
      </c>
      <c r="G55" s="352">
        <v>828</v>
      </c>
      <c r="H55" s="352">
        <v>5048719</v>
      </c>
      <c r="I55" s="352">
        <v>50340</v>
      </c>
      <c r="J55" s="352">
        <v>58998</v>
      </c>
      <c r="K55" s="352">
        <v>370</v>
      </c>
      <c r="L55" s="352">
        <v>3510</v>
      </c>
      <c r="M55" s="352">
        <v>87</v>
      </c>
      <c r="N55" s="196">
        <v>0</v>
      </c>
      <c r="O55" s="196">
        <v>0</v>
      </c>
      <c r="P55" s="196">
        <v>0</v>
      </c>
      <c r="Q55" s="196">
        <v>0</v>
      </c>
      <c r="R55" s="196">
        <v>56</v>
      </c>
      <c r="S55" s="196">
        <v>1</v>
      </c>
      <c r="T55" s="352">
        <v>24886</v>
      </c>
      <c r="U55" s="352">
        <v>805</v>
      </c>
      <c r="V55" s="352">
        <f t="shared" si="27"/>
        <v>1400</v>
      </c>
      <c r="W55" s="352">
        <f t="shared" si="31"/>
        <v>5</v>
      </c>
      <c r="X55" s="352">
        <v>1258</v>
      </c>
      <c r="Y55" s="352">
        <v>3</v>
      </c>
      <c r="Z55" s="352">
        <v>142</v>
      </c>
      <c r="AA55" s="352">
        <v>2</v>
      </c>
      <c r="AB55" s="352">
        <f t="shared" si="28"/>
        <v>1476</v>
      </c>
      <c r="AC55" s="352">
        <f t="shared" si="28"/>
        <v>138</v>
      </c>
      <c r="AD55" s="358">
        <v>797</v>
      </c>
      <c r="AE55" s="358">
        <v>126</v>
      </c>
      <c r="AF55" s="358">
        <v>679</v>
      </c>
      <c r="AG55" s="358">
        <v>12</v>
      </c>
      <c r="AH55" s="359"/>
    </row>
    <row r="56" spans="1:34" s="360" customFormat="1" ht="15.75" customHeight="1">
      <c r="A56" s="355" t="s">
        <v>233</v>
      </c>
      <c r="B56" s="356">
        <f t="shared" si="29"/>
        <v>393490</v>
      </c>
      <c r="C56" s="352">
        <f t="shared" si="29"/>
        <v>1783</v>
      </c>
      <c r="D56" s="356">
        <f t="shared" si="30"/>
        <v>384955</v>
      </c>
      <c r="E56" s="352">
        <f t="shared" si="30"/>
        <v>1589</v>
      </c>
      <c r="F56" s="352">
        <v>299985</v>
      </c>
      <c r="G56" s="352">
        <v>940</v>
      </c>
      <c r="H56" s="352">
        <v>41601</v>
      </c>
      <c r="I56" s="352">
        <v>394</v>
      </c>
      <c r="J56" s="352">
        <v>43254</v>
      </c>
      <c r="K56" s="352">
        <v>246</v>
      </c>
      <c r="L56" s="352">
        <v>0</v>
      </c>
      <c r="M56" s="352">
        <v>0</v>
      </c>
      <c r="N56" s="196">
        <v>0</v>
      </c>
      <c r="O56" s="196">
        <v>0</v>
      </c>
      <c r="P56" s="196">
        <v>0</v>
      </c>
      <c r="Q56" s="196">
        <v>0</v>
      </c>
      <c r="R56" s="196">
        <v>0</v>
      </c>
      <c r="S56" s="196">
        <v>0</v>
      </c>
      <c r="T56" s="352">
        <v>115</v>
      </c>
      <c r="U56" s="352">
        <v>9</v>
      </c>
      <c r="V56" s="352">
        <f t="shared" si="27"/>
        <v>7431</v>
      </c>
      <c r="W56" s="352">
        <f t="shared" si="31"/>
        <v>20</v>
      </c>
      <c r="X56" s="352">
        <v>6616</v>
      </c>
      <c r="Y56" s="352">
        <v>9</v>
      </c>
      <c r="Z56" s="352">
        <v>815</v>
      </c>
      <c r="AA56" s="352">
        <v>11</v>
      </c>
      <c r="AB56" s="352">
        <f t="shared" si="28"/>
        <v>1104</v>
      </c>
      <c r="AC56" s="352">
        <f t="shared" si="28"/>
        <v>174</v>
      </c>
      <c r="AD56" s="358">
        <v>1104</v>
      </c>
      <c r="AE56" s="358">
        <v>174</v>
      </c>
      <c r="AF56" s="358">
        <v>0</v>
      </c>
      <c r="AG56" s="358">
        <v>0</v>
      </c>
      <c r="AH56" s="359"/>
    </row>
    <row r="57" spans="1:34" s="360" customFormat="1" ht="15.75" customHeight="1">
      <c r="A57" s="355" t="s">
        <v>236</v>
      </c>
      <c r="B57" s="356">
        <f t="shared" si="29"/>
        <v>346579</v>
      </c>
      <c r="C57" s="352">
        <f t="shared" si="29"/>
        <v>1589</v>
      </c>
      <c r="D57" s="356">
        <f t="shared" si="30"/>
        <v>341126</v>
      </c>
      <c r="E57" s="352">
        <f t="shared" si="30"/>
        <v>1409</v>
      </c>
      <c r="F57" s="352">
        <v>289436</v>
      </c>
      <c r="G57" s="352">
        <v>1008</v>
      </c>
      <c r="H57" s="352">
        <v>23454</v>
      </c>
      <c r="I57" s="352">
        <v>233</v>
      </c>
      <c r="J57" s="352">
        <v>28119</v>
      </c>
      <c r="K57" s="352">
        <v>164</v>
      </c>
      <c r="L57" s="352">
        <v>0</v>
      </c>
      <c r="M57" s="352">
        <v>0</v>
      </c>
      <c r="N57" s="196">
        <v>0</v>
      </c>
      <c r="O57" s="196">
        <v>0</v>
      </c>
      <c r="P57" s="196">
        <v>0</v>
      </c>
      <c r="Q57" s="196">
        <v>0</v>
      </c>
      <c r="R57" s="196">
        <v>54</v>
      </c>
      <c r="S57" s="196">
        <v>1</v>
      </c>
      <c r="T57" s="352">
        <v>63</v>
      </c>
      <c r="U57" s="352">
        <v>3</v>
      </c>
      <c r="V57" s="352">
        <f t="shared" si="27"/>
        <v>3581</v>
      </c>
      <c r="W57" s="352">
        <f t="shared" si="31"/>
        <v>19</v>
      </c>
      <c r="X57" s="352">
        <v>3352</v>
      </c>
      <c r="Y57" s="352">
        <v>9</v>
      </c>
      <c r="Z57" s="352">
        <v>229</v>
      </c>
      <c r="AA57" s="352">
        <v>10</v>
      </c>
      <c r="AB57" s="352">
        <f aca="true" t="shared" si="32" ref="AB57:AC61">AD57+AF57</f>
        <v>1872</v>
      </c>
      <c r="AC57" s="352">
        <f t="shared" si="32"/>
        <v>161</v>
      </c>
      <c r="AD57" s="358">
        <v>1315</v>
      </c>
      <c r="AE57" s="358">
        <v>157</v>
      </c>
      <c r="AF57" s="358">
        <v>557</v>
      </c>
      <c r="AG57" s="358">
        <v>4</v>
      </c>
      <c r="AH57" s="359"/>
    </row>
    <row r="58" spans="1:34" s="360" customFormat="1" ht="15.75" customHeight="1">
      <c r="A58" s="355" t="s">
        <v>238</v>
      </c>
      <c r="B58" s="356">
        <f aca="true" t="shared" si="33" ref="B58:C60">D58+V58+AB58</f>
        <v>225011</v>
      </c>
      <c r="C58" s="352">
        <f t="shared" si="33"/>
        <v>1121</v>
      </c>
      <c r="D58" s="356">
        <f aca="true" t="shared" si="34" ref="D58:E60">F58+H58+J58+N58+P58+L58+R58+T58</f>
        <v>222790</v>
      </c>
      <c r="E58" s="352">
        <f t="shared" si="34"/>
        <v>907</v>
      </c>
      <c r="F58" s="352">
        <v>204789</v>
      </c>
      <c r="G58" s="352">
        <v>711</v>
      </c>
      <c r="H58" s="352">
        <v>8105</v>
      </c>
      <c r="I58" s="352">
        <v>122</v>
      </c>
      <c r="J58" s="352">
        <v>9545</v>
      </c>
      <c r="K58" s="352">
        <v>71</v>
      </c>
      <c r="L58" s="352">
        <v>0</v>
      </c>
      <c r="M58" s="352">
        <v>0</v>
      </c>
      <c r="N58" s="196">
        <v>0</v>
      </c>
      <c r="O58" s="196">
        <v>0</v>
      </c>
      <c r="P58" s="196">
        <v>0</v>
      </c>
      <c r="Q58" s="196">
        <v>0</v>
      </c>
      <c r="R58" s="196">
        <v>117</v>
      </c>
      <c r="S58" s="196">
        <v>2</v>
      </c>
      <c r="T58" s="352">
        <v>234</v>
      </c>
      <c r="U58" s="352">
        <v>1</v>
      </c>
      <c r="V58" s="352">
        <f t="shared" si="27"/>
        <v>1240</v>
      </c>
      <c r="W58" s="352">
        <f t="shared" si="31"/>
        <v>17</v>
      </c>
      <c r="X58" s="352">
        <v>962</v>
      </c>
      <c r="Y58" s="352">
        <v>5</v>
      </c>
      <c r="Z58" s="352">
        <v>278</v>
      </c>
      <c r="AA58" s="352">
        <v>12</v>
      </c>
      <c r="AB58" s="352">
        <f>AD58+AF58</f>
        <v>981</v>
      </c>
      <c r="AC58" s="352">
        <f>AE58+AG58</f>
        <v>197</v>
      </c>
      <c r="AD58" s="358">
        <v>981</v>
      </c>
      <c r="AE58" s="358">
        <v>193</v>
      </c>
      <c r="AF58" s="358">
        <v>0</v>
      </c>
      <c r="AG58" s="358">
        <v>4</v>
      </c>
      <c r="AH58" s="359"/>
    </row>
    <row r="59" spans="1:34" s="360" customFormat="1" ht="15.75" customHeight="1">
      <c r="A59" s="355" t="s">
        <v>239</v>
      </c>
      <c r="B59" s="356">
        <f t="shared" si="33"/>
        <v>313919</v>
      </c>
      <c r="C59" s="352">
        <f t="shared" si="33"/>
        <v>1851</v>
      </c>
      <c r="D59" s="356">
        <f t="shared" si="34"/>
        <v>308588</v>
      </c>
      <c r="E59" s="352">
        <f t="shared" si="34"/>
        <v>1673</v>
      </c>
      <c r="F59" s="352">
        <v>217456</v>
      </c>
      <c r="G59" s="352">
        <v>815</v>
      </c>
      <c r="H59" s="352">
        <v>26956</v>
      </c>
      <c r="I59" s="352">
        <v>495</v>
      </c>
      <c r="J59" s="352">
        <v>64107</v>
      </c>
      <c r="K59" s="352">
        <v>361</v>
      </c>
      <c r="L59" s="352">
        <v>0</v>
      </c>
      <c r="M59" s="352">
        <v>0</v>
      </c>
      <c r="N59" s="196">
        <v>0</v>
      </c>
      <c r="O59" s="196">
        <v>0</v>
      </c>
      <c r="P59" s="196">
        <v>0</v>
      </c>
      <c r="Q59" s="196">
        <v>0</v>
      </c>
      <c r="R59" s="196">
        <v>17</v>
      </c>
      <c r="S59" s="196">
        <v>1</v>
      </c>
      <c r="T59" s="352">
        <v>52</v>
      </c>
      <c r="U59" s="352">
        <v>1</v>
      </c>
      <c r="V59" s="352">
        <f t="shared" si="27"/>
        <v>4369</v>
      </c>
      <c r="W59" s="352">
        <f t="shared" si="31"/>
        <v>20</v>
      </c>
      <c r="X59" s="352">
        <v>4117</v>
      </c>
      <c r="Y59" s="352">
        <v>9</v>
      </c>
      <c r="Z59" s="352">
        <v>252</v>
      </c>
      <c r="AA59" s="352">
        <v>11</v>
      </c>
      <c r="AB59" s="352">
        <f>AD59+AF59</f>
        <v>962</v>
      </c>
      <c r="AC59" s="352">
        <f>AE59+AG59</f>
        <v>158</v>
      </c>
      <c r="AD59" s="358">
        <v>841</v>
      </c>
      <c r="AE59" s="358">
        <v>156</v>
      </c>
      <c r="AF59" s="358">
        <v>121</v>
      </c>
      <c r="AG59" s="358">
        <v>2</v>
      </c>
      <c r="AH59" s="359"/>
    </row>
    <row r="60" spans="1:34" s="360" customFormat="1" ht="15.75" customHeight="1">
      <c r="A60" s="355" t="s">
        <v>243</v>
      </c>
      <c r="B60" s="356">
        <f t="shared" si="33"/>
        <v>366351</v>
      </c>
      <c r="C60" s="352">
        <f t="shared" si="33"/>
        <v>1831</v>
      </c>
      <c r="D60" s="356">
        <f t="shared" si="34"/>
        <v>362478</v>
      </c>
      <c r="E60" s="352">
        <f t="shared" si="34"/>
        <v>1630</v>
      </c>
      <c r="F60" s="352">
        <v>307704</v>
      </c>
      <c r="G60" s="352">
        <v>1044</v>
      </c>
      <c r="H60" s="352">
        <v>3853</v>
      </c>
      <c r="I60" s="352">
        <v>312</v>
      </c>
      <c r="J60" s="352">
        <v>50682</v>
      </c>
      <c r="K60" s="352">
        <v>271</v>
      </c>
      <c r="L60" s="352">
        <v>0</v>
      </c>
      <c r="M60" s="352">
        <v>0</v>
      </c>
      <c r="N60" s="196">
        <v>0</v>
      </c>
      <c r="O60" s="196">
        <v>0</v>
      </c>
      <c r="P60" s="196">
        <v>0</v>
      </c>
      <c r="Q60" s="196">
        <v>0</v>
      </c>
      <c r="R60" s="196">
        <v>191</v>
      </c>
      <c r="S60" s="196">
        <v>2</v>
      </c>
      <c r="T60" s="352">
        <v>48</v>
      </c>
      <c r="U60" s="352">
        <v>1</v>
      </c>
      <c r="V60" s="352">
        <f t="shared" si="24"/>
        <v>2726</v>
      </c>
      <c r="W60" s="352">
        <f t="shared" si="25"/>
        <v>13</v>
      </c>
      <c r="X60" s="352">
        <v>2617</v>
      </c>
      <c r="Y60" s="352">
        <v>5</v>
      </c>
      <c r="Z60" s="352">
        <v>109</v>
      </c>
      <c r="AA60" s="352">
        <v>8</v>
      </c>
      <c r="AB60" s="352">
        <f t="shared" si="32"/>
        <v>1147</v>
      </c>
      <c r="AC60" s="352">
        <f t="shared" si="32"/>
        <v>188</v>
      </c>
      <c r="AD60" s="358">
        <v>874</v>
      </c>
      <c r="AE60" s="358">
        <v>184</v>
      </c>
      <c r="AF60" s="358">
        <v>273</v>
      </c>
      <c r="AG60" s="358">
        <v>4</v>
      </c>
      <c r="AH60" s="359"/>
    </row>
    <row r="61" spans="1:34" s="184" customFormat="1" ht="15.75" customHeight="1">
      <c r="A61" s="158" t="s">
        <v>10</v>
      </c>
      <c r="B61" s="73"/>
      <c r="C61" s="73"/>
      <c r="D61" s="263">
        <f>F61+H61+J61+L61+N61+P61+R61+T61</f>
        <v>100</v>
      </c>
      <c r="E61" s="263">
        <f>G61+I61+K61+M61+O61+Q61+S61+U61</f>
        <v>100</v>
      </c>
      <c r="F61" s="263">
        <f>ROUND(F60/$D60*100,2)</f>
        <v>84.89</v>
      </c>
      <c r="G61" s="73">
        <f>ROUND(G60/$E60*100,2)</f>
        <v>64.05</v>
      </c>
      <c r="H61" s="73">
        <f>ROUND(H60/$D60*100,2)</f>
        <v>1.06</v>
      </c>
      <c r="I61" s="73">
        <f>ROUND(I60/$E60*100,2)</f>
        <v>19.14</v>
      </c>
      <c r="J61" s="73">
        <f>ROUND(J60/$D60*100,2)</f>
        <v>13.98</v>
      </c>
      <c r="K61" s="73">
        <f>ROUND(K60/$E60*100,2)</f>
        <v>16.63</v>
      </c>
      <c r="L61" s="73">
        <f>ROUND(L60/$D60*100,2)</f>
        <v>0</v>
      </c>
      <c r="M61" s="73">
        <f>ROUND(M60/$E60*100,2)</f>
        <v>0</v>
      </c>
      <c r="N61" s="73">
        <f>ROUND(N60/$D60*100,2)</f>
        <v>0</v>
      </c>
      <c r="O61" s="73">
        <f>ROUND(O60/$E60*100,2)</f>
        <v>0</v>
      </c>
      <c r="P61" s="73">
        <f>ROUND(P60/$D60*100,2)</f>
        <v>0</v>
      </c>
      <c r="Q61" s="73">
        <f>ROUND(Q60/$E60*100,2)</f>
        <v>0</v>
      </c>
      <c r="R61" s="73">
        <f>ROUND(R60/$D60*100,2)</f>
        <v>0.05</v>
      </c>
      <c r="S61" s="73">
        <f>ROUND(S60/$E60*100,2)</f>
        <v>0.12</v>
      </c>
      <c r="T61" s="378">
        <f>ROUND(T60/$D60*100,2)+0.01</f>
        <v>0.02</v>
      </c>
      <c r="U61" s="73">
        <f>ROUND(U60/$E60*100,2)</f>
        <v>0.06</v>
      </c>
      <c r="V61" s="73">
        <f t="shared" si="24"/>
        <v>100</v>
      </c>
      <c r="W61" s="73">
        <f>Y61+AA61</f>
        <v>100</v>
      </c>
      <c r="X61" s="73">
        <f>ROUND(X60/$V$60*100,2)</f>
        <v>96</v>
      </c>
      <c r="Y61" s="73">
        <f>ROUND(Y60/$W$60*100,2)</f>
        <v>38.46</v>
      </c>
      <c r="Z61" s="73">
        <f>ROUND(Z60/$V$60*100,2)</f>
        <v>4</v>
      </c>
      <c r="AA61" s="73">
        <f>ROUND(AA60/$W$60*100,2)</f>
        <v>61.54</v>
      </c>
      <c r="AB61" s="73">
        <f t="shared" si="32"/>
        <v>100</v>
      </c>
      <c r="AC61" s="73">
        <f t="shared" si="32"/>
        <v>100</v>
      </c>
      <c r="AD61" s="73">
        <f>ROUND(AD60/$AB$60*100,2)</f>
        <v>76.2</v>
      </c>
      <c r="AE61" s="73">
        <f>ROUND(AE60/$AC$60*100,2)</f>
        <v>97.87</v>
      </c>
      <c r="AF61" s="73">
        <f>ROUND(AF60/$AB$60*100,2)</f>
        <v>23.8</v>
      </c>
      <c r="AG61" s="73">
        <f>ROUND(AG60/$AC$60*100,2)</f>
        <v>2.13</v>
      </c>
      <c r="AH61" s="74"/>
    </row>
    <row r="62" spans="1:34" s="52" customFormat="1" ht="15.75" customHeight="1">
      <c r="A62" s="91" t="s">
        <v>89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3"/>
      <c r="AF62" s="63"/>
      <c r="AG62" s="63"/>
      <c r="AH62" s="62"/>
    </row>
    <row r="63" spans="1:38" s="52" customFormat="1" ht="15.75" customHeight="1">
      <c r="A63" s="92" t="s">
        <v>160</v>
      </c>
      <c r="B63" s="62"/>
      <c r="C63" s="62"/>
      <c r="D63" s="62"/>
      <c r="E63" s="62"/>
      <c r="F63" s="308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G63" s="63"/>
      <c r="AH63" s="63"/>
      <c r="AI63" s="63"/>
      <c r="AJ63" s="63"/>
      <c r="AK63" s="63"/>
      <c r="AL63" s="62"/>
    </row>
    <row r="64" spans="1:34" ht="16.5">
      <c r="A64" s="92" t="s">
        <v>72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13"/>
    </row>
  </sheetData>
  <sheetProtection/>
  <mergeCells count="8">
    <mergeCell ref="B3:C4"/>
    <mergeCell ref="AB3:AG3"/>
    <mergeCell ref="N4:O4"/>
    <mergeCell ref="AD4:AE4"/>
    <mergeCell ref="AF4:AG4"/>
    <mergeCell ref="D3:Q3"/>
    <mergeCell ref="R3:U3"/>
    <mergeCell ref="V3:AA3"/>
  </mergeCells>
  <printOptions horizontalCentered="1" verticalCentered="1"/>
  <pageMargins left="1.03" right="0.35433070866141736" top="0.35433070866141736" bottom="0.48" header="0.5118110236220472" footer="0.31496062992125984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97"/>
  <sheetViews>
    <sheetView zoomScalePageLayoutView="0" workbookViewId="0" topLeftCell="A1">
      <pane ySplit="6" topLeftCell="BM7" activePane="bottomLeft" state="frozen"/>
      <selection pane="topLeft" activeCell="A1" sqref="A1"/>
      <selection pane="bottomLeft" activeCell="D67" sqref="D67"/>
    </sheetView>
  </sheetViews>
  <sheetFormatPr defaultColWidth="22.625" defaultRowHeight="24" customHeight="1"/>
  <cols>
    <col min="1" max="1" width="14.625" style="1" customWidth="1"/>
    <col min="2" max="3" width="12.25390625" style="82" customWidth="1"/>
    <col min="4" max="4" width="12.375" style="82" customWidth="1"/>
    <col min="5" max="7" width="12.25390625" style="82" customWidth="1"/>
    <col min="8" max="8" width="8.875" style="1" customWidth="1"/>
    <col min="9" max="9" width="8.75390625" style="1" customWidth="1"/>
  </cols>
  <sheetData>
    <row r="1" ht="16.5" customHeight="1"/>
    <row r="2" spans="1:7" ht="24" customHeight="1">
      <c r="A2" s="66" t="s">
        <v>4</v>
      </c>
      <c r="B2" s="77"/>
      <c r="C2" s="77"/>
      <c r="D2" s="26"/>
      <c r="E2" s="26"/>
      <c r="F2" s="26"/>
      <c r="G2" s="26"/>
    </row>
    <row r="3" spans="1:7" ht="24" customHeight="1">
      <c r="A3" s="25"/>
      <c r="B3" s="26"/>
      <c r="C3" s="26"/>
      <c r="D3" s="26"/>
      <c r="E3" s="26"/>
      <c r="F3" s="26"/>
      <c r="G3" s="26" t="s">
        <v>84</v>
      </c>
    </row>
    <row r="4" spans="1:7" ht="15" customHeight="1">
      <c r="A4" s="393" t="s">
        <v>68</v>
      </c>
      <c r="B4" s="393" t="s">
        <v>5</v>
      </c>
      <c r="C4" s="393" t="s">
        <v>6</v>
      </c>
      <c r="D4" s="393" t="s">
        <v>193</v>
      </c>
      <c r="E4" s="393" t="s">
        <v>7</v>
      </c>
      <c r="F4" s="390" t="s">
        <v>56</v>
      </c>
      <c r="G4" s="390" t="s">
        <v>55</v>
      </c>
    </row>
    <row r="5" spans="1:7" ht="15" customHeight="1">
      <c r="A5" s="394"/>
      <c r="B5" s="394"/>
      <c r="C5" s="394"/>
      <c r="D5" s="394"/>
      <c r="E5" s="394"/>
      <c r="F5" s="391"/>
      <c r="G5" s="391"/>
    </row>
    <row r="6" spans="1:9" s="3" customFormat="1" ht="15.75" customHeight="1">
      <c r="A6" s="395"/>
      <c r="B6" s="395"/>
      <c r="C6" s="395"/>
      <c r="D6" s="395"/>
      <c r="E6" s="395"/>
      <c r="F6" s="392"/>
      <c r="G6" s="392"/>
      <c r="H6" s="2"/>
      <c r="I6" s="2"/>
    </row>
    <row r="7" spans="1:9" s="5" customFormat="1" ht="15.75" customHeight="1">
      <c r="A7" s="86" t="s">
        <v>78</v>
      </c>
      <c r="B7" s="78">
        <f>SUM(C7:G7)</f>
        <v>7763</v>
      </c>
      <c r="C7" s="78">
        <v>1082</v>
      </c>
      <c r="D7" s="78">
        <v>704</v>
      </c>
      <c r="E7" s="78">
        <v>4402</v>
      </c>
      <c r="F7" s="78">
        <v>1369</v>
      </c>
      <c r="G7" s="78">
        <v>206</v>
      </c>
      <c r="H7" s="4"/>
      <c r="I7" s="4"/>
    </row>
    <row r="8" spans="1:9" s="5" customFormat="1" ht="15.75" customHeight="1">
      <c r="A8" s="86" t="s">
        <v>76</v>
      </c>
      <c r="B8" s="78">
        <v>7777</v>
      </c>
      <c r="C8" s="78">
        <v>1086</v>
      </c>
      <c r="D8" s="78">
        <v>707</v>
      </c>
      <c r="E8" s="78">
        <v>4401</v>
      </c>
      <c r="F8" s="78">
        <v>1380</v>
      </c>
      <c r="G8" s="78">
        <v>203</v>
      </c>
      <c r="H8" s="4"/>
      <c r="I8" s="4"/>
    </row>
    <row r="9" spans="1:9" s="5" customFormat="1" ht="15.75" customHeight="1">
      <c r="A9" s="86" t="s">
        <v>88</v>
      </c>
      <c r="B9" s="78">
        <v>7755</v>
      </c>
      <c r="C9" s="78">
        <v>1096</v>
      </c>
      <c r="D9" s="78">
        <v>692</v>
      </c>
      <c r="E9" s="78">
        <v>4385</v>
      </c>
      <c r="F9" s="78">
        <v>1393</v>
      </c>
      <c r="G9" s="78">
        <v>189</v>
      </c>
      <c r="H9" s="4"/>
      <c r="I9" s="4"/>
    </row>
    <row r="10" spans="1:9" s="5" customFormat="1" ht="15.75" customHeight="1">
      <c r="A10" s="86" t="s">
        <v>93</v>
      </c>
      <c r="B10" s="78">
        <v>7788</v>
      </c>
      <c r="C10" s="78">
        <v>1105</v>
      </c>
      <c r="D10" s="78">
        <v>679</v>
      </c>
      <c r="E10" s="78">
        <v>4407</v>
      </c>
      <c r="F10" s="78">
        <v>1414</v>
      </c>
      <c r="G10" s="78">
        <v>183</v>
      </c>
      <c r="H10" s="4"/>
      <c r="I10" s="4"/>
    </row>
    <row r="11" spans="1:9" s="5" customFormat="1" ht="15.75" customHeight="1">
      <c r="A11" s="86" t="s">
        <v>136</v>
      </c>
      <c r="B11" s="78">
        <v>7811</v>
      </c>
      <c r="C11" s="78">
        <v>1111</v>
      </c>
      <c r="D11" s="78">
        <v>680</v>
      </c>
      <c r="E11" s="78">
        <v>4415</v>
      </c>
      <c r="F11" s="78">
        <v>1426</v>
      </c>
      <c r="G11" s="78">
        <v>179</v>
      </c>
      <c r="H11" s="4"/>
      <c r="I11" s="4"/>
    </row>
    <row r="12" spans="1:9" s="5" customFormat="1" ht="15.75" customHeight="1">
      <c r="A12" s="86" t="s">
        <v>138</v>
      </c>
      <c r="B12" s="78">
        <v>7890</v>
      </c>
      <c r="C12" s="78">
        <v>1119</v>
      </c>
      <c r="D12" s="78">
        <v>703</v>
      </c>
      <c r="E12" s="78">
        <v>4447</v>
      </c>
      <c r="F12" s="78">
        <v>1439</v>
      </c>
      <c r="G12" s="78">
        <v>182</v>
      </c>
      <c r="H12" s="4"/>
      <c r="I12" s="4"/>
    </row>
    <row r="13" spans="1:9" s="5" customFormat="1" ht="15.75" customHeight="1">
      <c r="A13" s="86" t="s">
        <v>140</v>
      </c>
      <c r="B13" s="78">
        <v>7858</v>
      </c>
      <c r="C13" s="78">
        <v>1100</v>
      </c>
      <c r="D13" s="78">
        <v>704</v>
      </c>
      <c r="E13" s="78">
        <v>4427</v>
      </c>
      <c r="F13" s="78">
        <v>1446</v>
      </c>
      <c r="G13" s="78">
        <v>181</v>
      </c>
      <c r="H13" s="4"/>
      <c r="I13" s="4"/>
    </row>
    <row r="14" spans="1:9" s="5" customFormat="1" ht="15.75" customHeight="1">
      <c r="A14" s="86" t="s">
        <v>144</v>
      </c>
      <c r="B14" s="220">
        <v>7856</v>
      </c>
      <c r="C14" s="220">
        <v>1104</v>
      </c>
      <c r="D14" s="220">
        <v>698</v>
      </c>
      <c r="E14" s="220">
        <v>4429</v>
      </c>
      <c r="F14" s="220">
        <v>1449</v>
      </c>
      <c r="G14" s="220">
        <v>176</v>
      </c>
      <c r="H14" s="4"/>
      <c r="I14" s="4"/>
    </row>
    <row r="15" spans="1:9" s="5" customFormat="1" ht="15.75" customHeight="1">
      <c r="A15" s="86" t="s">
        <v>159</v>
      </c>
      <c r="B15" s="220">
        <v>7894</v>
      </c>
      <c r="C15" s="220">
        <v>1111</v>
      </c>
      <c r="D15" s="220">
        <v>2118</v>
      </c>
      <c r="E15" s="220">
        <v>3200</v>
      </c>
      <c r="F15" s="220">
        <v>1294</v>
      </c>
      <c r="G15" s="220">
        <v>171</v>
      </c>
      <c r="H15" s="4"/>
      <c r="I15" s="4"/>
    </row>
    <row r="16" spans="1:9" s="5" customFormat="1" ht="15.75" customHeight="1">
      <c r="A16" s="267" t="s">
        <v>162</v>
      </c>
      <c r="B16" s="220">
        <v>7736</v>
      </c>
      <c r="C16" s="220">
        <v>1108</v>
      </c>
      <c r="D16" s="220">
        <v>2495</v>
      </c>
      <c r="E16" s="220">
        <v>2902</v>
      </c>
      <c r="F16" s="220">
        <v>1063</v>
      </c>
      <c r="G16" s="220">
        <v>168</v>
      </c>
      <c r="H16" s="4"/>
      <c r="I16" s="4"/>
    </row>
    <row r="17" spans="1:9" s="5" customFormat="1" ht="15.75" customHeight="1" hidden="1">
      <c r="A17" s="185" t="s">
        <v>163</v>
      </c>
      <c r="B17" s="185">
        <f>SUM(C17:G17)</f>
        <v>7877</v>
      </c>
      <c r="C17" s="185">
        <v>1107</v>
      </c>
      <c r="D17" s="185">
        <v>2468</v>
      </c>
      <c r="E17" s="185">
        <v>2944</v>
      </c>
      <c r="F17" s="185">
        <v>1188</v>
      </c>
      <c r="G17" s="185">
        <v>170</v>
      </c>
      <c r="H17" s="4"/>
      <c r="I17" s="4"/>
    </row>
    <row r="18" spans="1:9" s="5" customFormat="1" ht="15.75" customHeight="1" hidden="1">
      <c r="A18" s="185" t="s">
        <v>165</v>
      </c>
      <c r="B18" s="185">
        <f aca="true" t="shared" si="0" ref="B18:B28">SUM(C18:G18)</f>
        <v>7757</v>
      </c>
      <c r="C18" s="185">
        <v>1105</v>
      </c>
      <c r="D18" s="185">
        <v>2496</v>
      </c>
      <c r="E18" s="185">
        <v>2916</v>
      </c>
      <c r="F18" s="185">
        <v>1070</v>
      </c>
      <c r="G18" s="185">
        <v>170</v>
      </c>
      <c r="H18" s="4"/>
      <c r="I18" s="4"/>
    </row>
    <row r="19" spans="1:9" s="5" customFormat="1" ht="15.75" customHeight="1" hidden="1">
      <c r="A19" s="185" t="s">
        <v>166</v>
      </c>
      <c r="B19" s="185">
        <f t="shared" si="0"/>
        <v>7735</v>
      </c>
      <c r="C19" s="185">
        <v>1103</v>
      </c>
      <c r="D19" s="185">
        <v>2496</v>
      </c>
      <c r="E19" s="185">
        <v>2908</v>
      </c>
      <c r="F19" s="185">
        <v>1058</v>
      </c>
      <c r="G19" s="185">
        <v>170</v>
      </c>
      <c r="H19" s="4"/>
      <c r="I19" s="4"/>
    </row>
    <row r="20" spans="1:9" s="5" customFormat="1" ht="15.75" customHeight="1" hidden="1">
      <c r="A20" s="185" t="s">
        <v>167</v>
      </c>
      <c r="B20" s="185">
        <f t="shared" si="0"/>
        <v>7733</v>
      </c>
      <c r="C20" s="185">
        <v>1101</v>
      </c>
      <c r="D20" s="185">
        <v>2497</v>
      </c>
      <c r="E20" s="185">
        <v>2906</v>
      </c>
      <c r="F20" s="185">
        <v>1059</v>
      </c>
      <c r="G20" s="185">
        <v>170</v>
      </c>
      <c r="H20" s="4"/>
      <c r="I20" s="4"/>
    </row>
    <row r="21" spans="1:9" s="5" customFormat="1" ht="15.75" customHeight="1" hidden="1">
      <c r="A21" s="185" t="s">
        <v>168</v>
      </c>
      <c r="B21" s="185">
        <f t="shared" si="0"/>
        <v>7734</v>
      </c>
      <c r="C21" s="185">
        <v>1100</v>
      </c>
      <c r="D21" s="185">
        <v>2498</v>
      </c>
      <c r="E21" s="185">
        <v>2907</v>
      </c>
      <c r="F21" s="185">
        <v>1059</v>
      </c>
      <c r="G21" s="185">
        <v>170</v>
      </c>
      <c r="H21" s="4"/>
      <c r="I21" s="4"/>
    </row>
    <row r="22" spans="1:9" s="5" customFormat="1" ht="15.75" customHeight="1" hidden="1">
      <c r="A22" s="185" t="s">
        <v>170</v>
      </c>
      <c r="B22" s="185">
        <f t="shared" si="0"/>
        <v>7737</v>
      </c>
      <c r="C22" s="185">
        <v>1100</v>
      </c>
      <c r="D22" s="185">
        <v>2498</v>
      </c>
      <c r="E22" s="185">
        <v>2908</v>
      </c>
      <c r="F22" s="185">
        <v>1061</v>
      </c>
      <c r="G22" s="185">
        <v>170</v>
      </c>
      <c r="H22" s="4"/>
      <c r="I22" s="4"/>
    </row>
    <row r="23" spans="1:9" s="5" customFormat="1" ht="15.75" customHeight="1" hidden="1">
      <c r="A23" s="185" t="s">
        <v>171</v>
      </c>
      <c r="B23" s="185">
        <f t="shared" si="0"/>
        <v>7735</v>
      </c>
      <c r="C23" s="185">
        <v>1102</v>
      </c>
      <c r="D23" s="185">
        <v>2497</v>
      </c>
      <c r="E23" s="185">
        <v>2903</v>
      </c>
      <c r="F23" s="185">
        <v>1064</v>
      </c>
      <c r="G23" s="185">
        <v>169</v>
      </c>
      <c r="H23" s="4"/>
      <c r="I23" s="4"/>
    </row>
    <row r="24" spans="1:9" s="5" customFormat="1" ht="15.75" customHeight="1" hidden="1">
      <c r="A24" s="185" t="s">
        <v>172</v>
      </c>
      <c r="B24" s="185">
        <f t="shared" si="0"/>
        <v>7736</v>
      </c>
      <c r="C24" s="185">
        <v>1108</v>
      </c>
      <c r="D24" s="185">
        <v>2493</v>
      </c>
      <c r="E24" s="185">
        <v>2903</v>
      </c>
      <c r="F24" s="185">
        <v>1063</v>
      </c>
      <c r="G24" s="185">
        <v>169</v>
      </c>
      <c r="H24" s="4"/>
      <c r="I24" s="4"/>
    </row>
    <row r="25" spans="1:9" s="5" customFormat="1" ht="15.75" customHeight="1" hidden="1">
      <c r="A25" s="185" t="s">
        <v>173</v>
      </c>
      <c r="B25" s="185">
        <f t="shared" si="0"/>
        <v>7737</v>
      </c>
      <c r="C25" s="185">
        <v>1109</v>
      </c>
      <c r="D25" s="185">
        <v>2494</v>
      </c>
      <c r="E25" s="185">
        <v>2899</v>
      </c>
      <c r="F25" s="185">
        <v>1066</v>
      </c>
      <c r="G25" s="185">
        <v>169</v>
      </c>
      <c r="H25" s="4"/>
      <c r="I25" s="4"/>
    </row>
    <row r="26" spans="1:9" s="5" customFormat="1" ht="15.75" customHeight="1" hidden="1">
      <c r="A26" s="185" t="s">
        <v>174</v>
      </c>
      <c r="B26" s="185">
        <f t="shared" si="0"/>
        <v>7732</v>
      </c>
      <c r="C26" s="185">
        <v>1106</v>
      </c>
      <c r="D26" s="185">
        <v>2494</v>
      </c>
      <c r="E26" s="185">
        <v>2897</v>
      </c>
      <c r="F26" s="185">
        <v>1066</v>
      </c>
      <c r="G26" s="185">
        <v>169</v>
      </c>
      <c r="H26" s="4"/>
      <c r="I26" s="4"/>
    </row>
    <row r="27" spans="1:9" s="5" customFormat="1" ht="15.75" customHeight="1" hidden="1">
      <c r="A27" s="185" t="s">
        <v>176</v>
      </c>
      <c r="B27" s="185">
        <f t="shared" si="0"/>
        <v>7731</v>
      </c>
      <c r="C27" s="185">
        <v>1106</v>
      </c>
      <c r="D27" s="185">
        <v>2496</v>
      </c>
      <c r="E27" s="185">
        <v>2897</v>
      </c>
      <c r="F27" s="185">
        <v>1063</v>
      </c>
      <c r="G27" s="185">
        <v>169</v>
      </c>
      <c r="H27" s="4"/>
      <c r="I27" s="4"/>
    </row>
    <row r="28" spans="1:9" s="5" customFormat="1" ht="15.75" customHeight="1" hidden="1">
      <c r="A28" s="185" t="s">
        <v>178</v>
      </c>
      <c r="B28" s="185">
        <f t="shared" si="0"/>
        <v>7736</v>
      </c>
      <c r="C28" s="185">
        <v>1108</v>
      </c>
      <c r="D28" s="185">
        <v>2495</v>
      </c>
      <c r="E28" s="185">
        <v>2902</v>
      </c>
      <c r="F28" s="185">
        <v>1063</v>
      </c>
      <c r="G28" s="185">
        <v>168</v>
      </c>
      <c r="H28" s="4"/>
      <c r="I28" s="4"/>
    </row>
    <row r="29" spans="1:9" s="5" customFormat="1" ht="15.75" customHeight="1">
      <c r="A29" s="267" t="s">
        <v>180</v>
      </c>
      <c r="B29" s="220">
        <f aca="true" t="shared" si="1" ref="B29:G29">B41</f>
        <v>7970</v>
      </c>
      <c r="C29" s="220">
        <f t="shared" si="1"/>
        <v>1369</v>
      </c>
      <c r="D29" s="220">
        <f t="shared" si="1"/>
        <v>2493</v>
      </c>
      <c r="E29" s="220">
        <f t="shared" si="1"/>
        <v>2874</v>
      </c>
      <c r="F29" s="220">
        <f t="shared" si="1"/>
        <v>1057</v>
      </c>
      <c r="G29" s="220">
        <f t="shared" si="1"/>
        <v>177</v>
      </c>
      <c r="H29" s="4"/>
      <c r="I29" s="4"/>
    </row>
    <row r="30" spans="1:9" s="5" customFormat="1" ht="15.75" customHeight="1" hidden="1">
      <c r="A30" s="185" t="s">
        <v>179</v>
      </c>
      <c r="B30" s="185">
        <f aca="true" t="shared" si="2" ref="B30:B35">SUM(C30:G30)</f>
        <v>7750</v>
      </c>
      <c r="C30" s="185">
        <v>1123</v>
      </c>
      <c r="D30" s="185">
        <v>2494</v>
      </c>
      <c r="E30" s="185">
        <v>2902</v>
      </c>
      <c r="F30" s="185">
        <v>1064</v>
      </c>
      <c r="G30" s="185">
        <v>167</v>
      </c>
      <c r="H30" s="4"/>
      <c r="I30" s="4"/>
    </row>
    <row r="31" spans="1:9" s="5" customFormat="1" ht="15.75" customHeight="1" hidden="1">
      <c r="A31" s="185" t="s">
        <v>183</v>
      </c>
      <c r="B31" s="185">
        <f t="shared" si="2"/>
        <v>7726</v>
      </c>
      <c r="C31" s="185">
        <v>1105</v>
      </c>
      <c r="D31" s="185">
        <v>2491</v>
      </c>
      <c r="E31" s="185">
        <v>2899</v>
      </c>
      <c r="F31" s="185">
        <v>1065</v>
      </c>
      <c r="G31" s="185">
        <v>166</v>
      </c>
      <c r="H31" s="4"/>
      <c r="I31" s="4"/>
    </row>
    <row r="32" spans="1:9" s="5" customFormat="1" ht="15.75" customHeight="1" hidden="1">
      <c r="A32" s="185" t="s">
        <v>186</v>
      </c>
      <c r="B32" s="185">
        <f t="shared" si="2"/>
        <v>7760</v>
      </c>
      <c r="C32" s="185">
        <v>1148</v>
      </c>
      <c r="D32" s="185">
        <v>2493</v>
      </c>
      <c r="E32" s="185">
        <v>2900</v>
      </c>
      <c r="F32" s="185">
        <v>1060</v>
      </c>
      <c r="G32" s="185">
        <v>159</v>
      </c>
      <c r="H32" s="4"/>
      <c r="I32" s="4"/>
    </row>
    <row r="33" spans="1:9" s="5" customFormat="1" ht="15.75" customHeight="1" hidden="1">
      <c r="A33" s="185" t="s">
        <v>187</v>
      </c>
      <c r="B33" s="185">
        <f t="shared" si="2"/>
        <v>7769</v>
      </c>
      <c r="C33" s="185">
        <v>1157</v>
      </c>
      <c r="D33" s="185">
        <v>2493</v>
      </c>
      <c r="E33" s="185">
        <v>2901</v>
      </c>
      <c r="F33" s="185">
        <v>1060</v>
      </c>
      <c r="G33" s="185">
        <v>158</v>
      </c>
      <c r="H33" s="4"/>
      <c r="I33" s="4"/>
    </row>
    <row r="34" spans="1:9" s="5" customFormat="1" ht="15.75" customHeight="1" hidden="1">
      <c r="A34" s="185" t="s">
        <v>188</v>
      </c>
      <c r="B34" s="185">
        <f t="shared" si="2"/>
        <v>7781</v>
      </c>
      <c r="C34" s="185">
        <v>1168</v>
      </c>
      <c r="D34" s="185">
        <v>2494</v>
      </c>
      <c r="E34" s="185">
        <v>2901</v>
      </c>
      <c r="F34" s="185">
        <v>1061</v>
      </c>
      <c r="G34" s="185">
        <v>157</v>
      </c>
      <c r="H34" s="4"/>
      <c r="I34" s="4"/>
    </row>
    <row r="35" spans="1:9" s="5" customFormat="1" ht="15.75" customHeight="1" hidden="1">
      <c r="A35" s="185" t="s">
        <v>189</v>
      </c>
      <c r="B35" s="185">
        <f t="shared" si="2"/>
        <v>7773</v>
      </c>
      <c r="C35" s="185">
        <v>1161</v>
      </c>
      <c r="D35" s="185">
        <v>2495</v>
      </c>
      <c r="E35" s="185">
        <v>2902</v>
      </c>
      <c r="F35" s="185">
        <v>1061</v>
      </c>
      <c r="G35" s="185">
        <v>154</v>
      </c>
      <c r="H35" s="4"/>
      <c r="I35" s="4"/>
    </row>
    <row r="36" spans="1:9" s="5" customFormat="1" ht="15.75" customHeight="1" hidden="1">
      <c r="A36" s="185" t="s">
        <v>192</v>
      </c>
      <c r="B36" s="185">
        <f aca="true" t="shared" si="3" ref="B36:B45">SUM(C36:G36)</f>
        <v>7753</v>
      </c>
      <c r="C36" s="185">
        <v>1146</v>
      </c>
      <c r="D36" s="185">
        <v>2493</v>
      </c>
      <c r="E36" s="185">
        <v>2901</v>
      </c>
      <c r="F36" s="185">
        <v>1060</v>
      </c>
      <c r="G36" s="185">
        <v>153</v>
      </c>
      <c r="H36" s="4"/>
      <c r="I36" s="4"/>
    </row>
    <row r="37" spans="1:9" s="5" customFormat="1" ht="15.75" customHeight="1" hidden="1">
      <c r="A37" s="185" t="s">
        <v>196</v>
      </c>
      <c r="B37" s="185">
        <f t="shared" si="3"/>
        <v>7733</v>
      </c>
      <c r="C37" s="185">
        <v>1144</v>
      </c>
      <c r="D37" s="185">
        <v>2491</v>
      </c>
      <c r="E37" s="185">
        <v>2884</v>
      </c>
      <c r="F37" s="185">
        <v>1061</v>
      </c>
      <c r="G37" s="185">
        <v>153</v>
      </c>
      <c r="H37" s="4"/>
      <c r="I37" s="4"/>
    </row>
    <row r="38" spans="1:9" s="313" customFormat="1" ht="15.75" customHeight="1" hidden="1">
      <c r="A38" s="185" t="s">
        <v>199</v>
      </c>
      <c r="B38" s="185">
        <f t="shared" si="3"/>
        <v>7730</v>
      </c>
      <c r="C38" s="185">
        <v>1142</v>
      </c>
      <c r="D38" s="185">
        <v>2492</v>
      </c>
      <c r="E38" s="185">
        <v>2882</v>
      </c>
      <c r="F38" s="185">
        <v>1061</v>
      </c>
      <c r="G38" s="185">
        <v>153</v>
      </c>
      <c r="H38" s="312"/>
      <c r="I38" s="312"/>
    </row>
    <row r="39" spans="1:9" s="313" customFormat="1" ht="15.75" customHeight="1" hidden="1">
      <c r="A39" s="185" t="s">
        <v>201</v>
      </c>
      <c r="B39" s="185">
        <f t="shared" si="3"/>
        <v>7723</v>
      </c>
      <c r="C39" s="185">
        <v>1140</v>
      </c>
      <c r="D39" s="185">
        <v>2490</v>
      </c>
      <c r="E39" s="185">
        <v>2880</v>
      </c>
      <c r="F39" s="185">
        <v>1060</v>
      </c>
      <c r="G39" s="185">
        <v>153</v>
      </c>
      <c r="H39" s="312"/>
      <c r="I39" s="312"/>
    </row>
    <row r="40" spans="1:9" s="313" customFormat="1" ht="15.75" customHeight="1" hidden="1">
      <c r="A40" s="185" t="s">
        <v>203</v>
      </c>
      <c r="B40" s="185">
        <f t="shared" si="3"/>
        <v>7992</v>
      </c>
      <c r="C40" s="185">
        <v>1392</v>
      </c>
      <c r="D40" s="185">
        <v>2491</v>
      </c>
      <c r="E40" s="185">
        <v>2872</v>
      </c>
      <c r="F40" s="185">
        <v>1060</v>
      </c>
      <c r="G40" s="185">
        <v>177</v>
      </c>
      <c r="H40" s="312"/>
      <c r="I40" s="312"/>
    </row>
    <row r="41" spans="1:9" s="313" customFormat="1" ht="15.75" customHeight="1" hidden="1">
      <c r="A41" s="185" t="s">
        <v>204</v>
      </c>
      <c r="B41" s="185">
        <f t="shared" si="3"/>
        <v>7970</v>
      </c>
      <c r="C41" s="185">
        <v>1369</v>
      </c>
      <c r="D41" s="185">
        <v>2493</v>
      </c>
      <c r="E41" s="185">
        <v>2874</v>
      </c>
      <c r="F41" s="185">
        <v>1057</v>
      </c>
      <c r="G41" s="185">
        <v>177</v>
      </c>
      <c r="H41" s="312"/>
      <c r="I41" s="312"/>
    </row>
    <row r="42" spans="1:9" s="313" customFormat="1" ht="15.75" customHeight="1">
      <c r="A42" s="267" t="s">
        <v>207</v>
      </c>
      <c r="B42" s="220">
        <f aca="true" t="shared" si="4" ref="B42:G42">B54</f>
        <v>7623</v>
      </c>
      <c r="C42" s="220">
        <f t="shared" si="4"/>
        <v>1059</v>
      </c>
      <c r="D42" s="220">
        <f t="shared" si="4"/>
        <v>2513</v>
      </c>
      <c r="E42" s="220">
        <f t="shared" si="4"/>
        <v>2838</v>
      </c>
      <c r="F42" s="220">
        <f t="shared" si="4"/>
        <v>1057</v>
      </c>
      <c r="G42" s="220">
        <f t="shared" si="4"/>
        <v>156</v>
      </c>
      <c r="H42" s="312"/>
      <c r="I42" s="312"/>
    </row>
    <row r="43" spans="1:9" s="313" customFormat="1" ht="15.75" customHeight="1" hidden="1">
      <c r="A43" s="185" t="s">
        <v>205</v>
      </c>
      <c r="B43" s="185">
        <f t="shared" si="3"/>
        <v>7921</v>
      </c>
      <c r="C43" s="185">
        <v>1344</v>
      </c>
      <c r="D43" s="185">
        <v>2503</v>
      </c>
      <c r="E43" s="185">
        <v>2857</v>
      </c>
      <c r="F43" s="185">
        <v>1057</v>
      </c>
      <c r="G43" s="185">
        <v>160</v>
      </c>
      <c r="H43" s="312"/>
      <c r="I43" s="312"/>
    </row>
    <row r="44" spans="1:9" s="313" customFormat="1" ht="15.75" customHeight="1" hidden="1">
      <c r="A44" s="185" t="s">
        <v>208</v>
      </c>
      <c r="B44" s="185">
        <f t="shared" si="3"/>
        <v>7822</v>
      </c>
      <c r="C44" s="185">
        <v>1252</v>
      </c>
      <c r="D44" s="185">
        <v>2502</v>
      </c>
      <c r="E44" s="185">
        <v>2853</v>
      </c>
      <c r="F44" s="185">
        <v>1058</v>
      </c>
      <c r="G44" s="185">
        <v>157</v>
      </c>
      <c r="H44" s="312"/>
      <c r="I44" s="312"/>
    </row>
    <row r="45" spans="1:9" s="313" customFormat="1" ht="15.75" customHeight="1" hidden="1">
      <c r="A45" s="185" t="s">
        <v>209</v>
      </c>
      <c r="B45" s="185">
        <f t="shared" si="3"/>
        <v>7637</v>
      </c>
      <c r="C45" s="185">
        <v>1070</v>
      </c>
      <c r="D45" s="185">
        <v>2502</v>
      </c>
      <c r="E45" s="185">
        <v>2854</v>
      </c>
      <c r="F45" s="185">
        <v>1055</v>
      </c>
      <c r="G45" s="185">
        <v>156</v>
      </c>
      <c r="H45" s="312"/>
      <c r="I45" s="312"/>
    </row>
    <row r="46" spans="1:9" s="313" customFormat="1" ht="15.75" customHeight="1" hidden="1">
      <c r="A46" s="185" t="s">
        <v>212</v>
      </c>
      <c r="B46" s="185">
        <f aca="true" t="shared" si="5" ref="B46:B54">SUM(C46:G46)</f>
        <v>7632</v>
      </c>
      <c r="C46" s="185">
        <v>1068</v>
      </c>
      <c r="D46" s="185">
        <v>2502</v>
      </c>
      <c r="E46" s="185">
        <v>2851</v>
      </c>
      <c r="F46" s="185">
        <v>1055</v>
      </c>
      <c r="G46" s="185">
        <v>156</v>
      </c>
      <c r="H46" s="312"/>
      <c r="I46" s="312"/>
    </row>
    <row r="47" spans="1:9" s="313" customFormat="1" ht="15.75" customHeight="1" hidden="1">
      <c r="A47" s="185" t="s">
        <v>213</v>
      </c>
      <c r="B47" s="185">
        <f t="shared" si="5"/>
        <v>7628</v>
      </c>
      <c r="C47" s="185">
        <v>1064</v>
      </c>
      <c r="D47" s="185">
        <v>2503</v>
      </c>
      <c r="E47" s="185">
        <v>2850</v>
      </c>
      <c r="F47" s="185">
        <v>1055</v>
      </c>
      <c r="G47" s="185">
        <v>156</v>
      </c>
      <c r="H47" s="312"/>
      <c r="I47" s="312"/>
    </row>
    <row r="48" spans="1:9" s="313" customFormat="1" ht="15.75" customHeight="1" hidden="1">
      <c r="A48" s="185" t="s">
        <v>214</v>
      </c>
      <c r="B48" s="185">
        <f t="shared" si="5"/>
        <v>7645</v>
      </c>
      <c r="C48" s="341">
        <v>1064</v>
      </c>
      <c r="D48" s="341">
        <v>2514</v>
      </c>
      <c r="E48" s="342">
        <v>2851</v>
      </c>
      <c r="F48" s="342">
        <v>1059</v>
      </c>
      <c r="G48" s="342">
        <v>157</v>
      </c>
      <c r="H48" s="312"/>
      <c r="I48" s="312"/>
    </row>
    <row r="49" spans="1:9" s="313" customFormat="1" ht="15.75" customHeight="1" hidden="1">
      <c r="A49" s="185" t="s">
        <v>215</v>
      </c>
      <c r="B49" s="185">
        <f t="shared" si="5"/>
        <v>7634</v>
      </c>
      <c r="C49" s="341">
        <v>1064</v>
      </c>
      <c r="D49" s="341">
        <v>2515</v>
      </c>
      <c r="E49" s="341">
        <v>2845</v>
      </c>
      <c r="F49" s="341">
        <v>1059</v>
      </c>
      <c r="G49" s="341">
        <v>151</v>
      </c>
      <c r="H49" s="312"/>
      <c r="I49" s="312"/>
    </row>
    <row r="50" spans="1:9" s="313" customFormat="1" ht="15.75" customHeight="1" hidden="1">
      <c r="A50" s="185" t="s">
        <v>216</v>
      </c>
      <c r="B50" s="185">
        <f t="shared" si="5"/>
        <v>7642</v>
      </c>
      <c r="C50" s="341">
        <v>1073</v>
      </c>
      <c r="D50" s="341">
        <v>2515</v>
      </c>
      <c r="E50" s="341">
        <v>2841</v>
      </c>
      <c r="F50" s="341">
        <v>1058</v>
      </c>
      <c r="G50" s="341">
        <v>155</v>
      </c>
      <c r="H50" s="312"/>
      <c r="I50" s="312"/>
    </row>
    <row r="51" spans="1:9" s="313" customFormat="1" ht="15.75" customHeight="1" hidden="1">
      <c r="A51" s="185" t="s">
        <v>217</v>
      </c>
      <c r="B51" s="185">
        <f t="shared" si="5"/>
        <v>7625</v>
      </c>
      <c r="C51" s="341">
        <v>1063</v>
      </c>
      <c r="D51" s="341">
        <v>2513</v>
      </c>
      <c r="E51" s="341">
        <v>2836</v>
      </c>
      <c r="F51" s="341">
        <v>1058</v>
      </c>
      <c r="G51" s="341">
        <v>155</v>
      </c>
      <c r="H51" s="312"/>
      <c r="I51" s="312"/>
    </row>
    <row r="52" spans="1:9" s="313" customFormat="1" ht="15.75" customHeight="1" hidden="1">
      <c r="A52" s="185" t="s">
        <v>218</v>
      </c>
      <c r="B52" s="185">
        <f t="shared" si="5"/>
        <v>7617</v>
      </c>
      <c r="C52" s="341">
        <v>1056</v>
      </c>
      <c r="D52" s="341">
        <v>2513</v>
      </c>
      <c r="E52" s="341">
        <v>2836</v>
      </c>
      <c r="F52" s="341">
        <v>1057</v>
      </c>
      <c r="G52" s="341">
        <v>155</v>
      </c>
      <c r="H52" s="312"/>
      <c r="I52" s="312"/>
    </row>
    <row r="53" spans="1:9" s="313" customFormat="1" ht="15.75" customHeight="1" hidden="1">
      <c r="A53" s="185" t="s">
        <v>219</v>
      </c>
      <c r="B53" s="185">
        <f t="shared" si="5"/>
        <v>7619</v>
      </c>
      <c r="C53" s="341">
        <v>1057</v>
      </c>
      <c r="D53" s="341">
        <v>2513</v>
      </c>
      <c r="E53" s="341">
        <v>2836</v>
      </c>
      <c r="F53" s="341">
        <v>1057</v>
      </c>
      <c r="G53" s="341">
        <v>156</v>
      </c>
      <c r="H53" s="312"/>
      <c r="I53" s="312"/>
    </row>
    <row r="54" spans="1:9" s="313" customFormat="1" ht="15.75" customHeight="1" hidden="1">
      <c r="A54" s="185" t="s">
        <v>220</v>
      </c>
      <c r="B54" s="185">
        <f t="shared" si="5"/>
        <v>7623</v>
      </c>
      <c r="C54" s="341">
        <v>1059</v>
      </c>
      <c r="D54" s="341">
        <v>2513</v>
      </c>
      <c r="E54" s="341">
        <v>2838</v>
      </c>
      <c r="F54" s="341">
        <v>1057</v>
      </c>
      <c r="G54" s="341">
        <v>156</v>
      </c>
      <c r="H54" s="312"/>
      <c r="I54" s="312"/>
    </row>
    <row r="55" spans="1:9" s="313" customFormat="1" ht="15.75" customHeight="1">
      <c r="A55" s="267" t="s">
        <v>221</v>
      </c>
      <c r="B55" s="185"/>
      <c r="C55" s="341"/>
      <c r="D55" s="341"/>
      <c r="E55" s="341"/>
      <c r="F55" s="341"/>
      <c r="G55" s="341"/>
      <c r="H55" s="312"/>
      <c r="I55" s="312"/>
    </row>
    <row r="56" spans="1:9" s="374" customFormat="1" ht="15.75" customHeight="1">
      <c r="A56" s="371" t="s">
        <v>222</v>
      </c>
      <c r="B56" s="371">
        <f aca="true" t="shared" si="6" ref="B56:B67">SUM(C56:G56)</f>
        <v>7623</v>
      </c>
      <c r="C56" s="372">
        <v>1061</v>
      </c>
      <c r="D56" s="372">
        <v>2509</v>
      </c>
      <c r="E56" s="372">
        <v>2838</v>
      </c>
      <c r="F56" s="372">
        <v>1060</v>
      </c>
      <c r="G56" s="372">
        <v>155</v>
      </c>
      <c r="H56" s="373"/>
      <c r="I56" s="373"/>
    </row>
    <row r="57" spans="1:9" s="374" customFormat="1" ht="15.75" customHeight="1">
      <c r="A57" s="371" t="s">
        <v>224</v>
      </c>
      <c r="B57" s="371">
        <f t="shared" si="6"/>
        <v>7633</v>
      </c>
      <c r="C57" s="372">
        <v>1054</v>
      </c>
      <c r="D57" s="372">
        <v>2525</v>
      </c>
      <c r="E57" s="372">
        <v>2840</v>
      </c>
      <c r="F57" s="372">
        <v>1062</v>
      </c>
      <c r="G57" s="372">
        <v>152</v>
      </c>
      <c r="H57" s="373"/>
      <c r="I57" s="373"/>
    </row>
    <row r="58" spans="1:9" s="374" customFormat="1" ht="15.75" customHeight="1">
      <c r="A58" s="371" t="s">
        <v>226</v>
      </c>
      <c r="B58" s="371">
        <f t="shared" si="6"/>
        <v>7713</v>
      </c>
      <c r="C58" s="372">
        <v>1074</v>
      </c>
      <c r="D58" s="372">
        <v>2568</v>
      </c>
      <c r="E58" s="372">
        <v>2852</v>
      </c>
      <c r="F58" s="372">
        <v>1062</v>
      </c>
      <c r="G58" s="372">
        <v>157</v>
      </c>
      <c r="H58" s="373"/>
      <c r="I58" s="373"/>
    </row>
    <row r="59" spans="1:9" s="374" customFormat="1" ht="15.75" customHeight="1">
      <c r="A59" s="371" t="s">
        <v>227</v>
      </c>
      <c r="B59" s="371">
        <f t="shared" si="6"/>
        <v>7689</v>
      </c>
      <c r="C59" s="372">
        <v>1068</v>
      </c>
      <c r="D59" s="372">
        <v>2551</v>
      </c>
      <c r="E59" s="372">
        <v>2851</v>
      </c>
      <c r="F59" s="372">
        <v>1062</v>
      </c>
      <c r="G59" s="372">
        <v>157</v>
      </c>
      <c r="H59" s="373"/>
      <c r="I59" s="373"/>
    </row>
    <row r="60" spans="1:9" s="374" customFormat="1" ht="15.75" customHeight="1">
      <c r="A60" s="371" t="s">
        <v>228</v>
      </c>
      <c r="B60" s="371">
        <f t="shared" si="6"/>
        <v>7646</v>
      </c>
      <c r="C60" s="372">
        <v>1059</v>
      </c>
      <c r="D60" s="372">
        <v>2521</v>
      </c>
      <c r="E60" s="372">
        <v>2851</v>
      </c>
      <c r="F60" s="372">
        <v>1062</v>
      </c>
      <c r="G60" s="372">
        <v>153</v>
      </c>
      <c r="H60" s="373"/>
      <c r="I60" s="373"/>
    </row>
    <row r="61" spans="1:9" s="374" customFormat="1" ht="15.75" customHeight="1">
      <c r="A61" s="371" t="s">
        <v>230</v>
      </c>
      <c r="B61" s="371">
        <f aca="true" t="shared" si="7" ref="B61:B66">SUM(C61:G61)</f>
        <v>7642</v>
      </c>
      <c r="C61" s="372">
        <v>1056</v>
      </c>
      <c r="D61" s="372">
        <v>2522</v>
      </c>
      <c r="E61" s="372">
        <v>2850</v>
      </c>
      <c r="F61" s="372">
        <v>1062</v>
      </c>
      <c r="G61" s="372">
        <v>152</v>
      </c>
      <c r="H61" s="373"/>
      <c r="I61" s="373"/>
    </row>
    <row r="62" spans="1:9" s="374" customFormat="1" ht="15.75" customHeight="1">
      <c r="A62" s="371" t="s">
        <v>231</v>
      </c>
      <c r="B62" s="371">
        <f t="shared" si="7"/>
        <v>7657</v>
      </c>
      <c r="C62" s="372">
        <v>1051</v>
      </c>
      <c r="D62" s="372">
        <v>2524</v>
      </c>
      <c r="E62" s="372">
        <v>2864</v>
      </c>
      <c r="F62" s="372">
        <v>1064</v>
      </c>
      <c r="G62" s="372">
        <v>154</v>
      </c>
      <c r="H62" s="373"/>
      <c r="I62" s="373"/>
    </row>
    <row r="63" spans="1:9" s="374" customFormat="1" ht="15.75" customHeight="1">
      <c r="A63" s="371" t="s">
        <v>232</v>
      </c>
      <c r="B63" s="371">
        <f t="shared" si="7"/>
        <v>7648</v>
      </c>
      <c r="C63" s="372">
        <v>1051</v>
      </c>
      <c r="D63" s="372">
        <v>2526</v>
      </c>
      <c r="E63" s="372">
        <v>2855</v>
      </c>
      <c r="F63" s="372">
        <v>1065</v>
      </c>
      <c r="G63" s="372">
        <v>151</v>
      </c>
      <c r="H63" s="373"/>
      <c r="I63" s="373"/>
    </row>
    <row r="64" spans="1:9" s="374" customFormat="1" ht="15.75" customHeight="1">
      <c r="A64" s="371" t="s">
        <v>236</v>
      </c>
      <c r="B64" s="371">
        <f t="shared" si="7"/>
        <v>7644</v>
      </c>
      <c r="C64" s="372">
        <v>1048</v>
      </c>
      <c r="D64" s="372">
        <v>2533</v>
      </c>
      <c r="E64" s="372">
        <v>2851</v>
      </c>
      <c r="F64" s="372">
        <v>1063</v>
      </c>
      <c r="G64" s="372">
        <v>149</v>
      </c>
      <c r="H64" s="373"/>
      <c r="I64" s="373"/>
    </row>
    <row r="65" spans="1:9" s="374" customFormat="1" ht="15.75" customHeight="1">
      <c r="A65" s="371" t="s">
        <v>238</v>
      </c>
      <c r="B65" s="371">
        <f t="shared" si="7"/>
        <v>7643</v>
      </c>
      <c r="C65" s="372">
        <v>1047</v>
      </c>
      <c r="D65" s="372">
        <v>2533</v>
      </c>
      <c r="E65" s="372">
        <v>2851</v>
      </c>
      <c r="F65" s="372">
        <v>1063</v>
      </c>
      <c r="G65" s="372">
        <v>149</v>
      </c>
      <c r="H65" s="373"/>
      <c r="I65" s="373"/>
    </row>
    <row r="66" spans="1:9" s="374" customFormat="1" ht="15.75" customHeight="1">
      <c r="A66" s="371" t="s">
        <v>239</v>
      </c>
      <c r="B66" s="371">
        <f t="shared" si="7"/>
        <v>7643</v>
      </c>
      <c r="C66" s="372">
        <v>1045</v>
      </c>
      <c r="D66" s="372">
        <v>2534</v>
      </c>
      <c r="E66" s="372">
        <v>2851</v>
      </c>
      <c r="F66" s="372">
        <v>1064</v>
      </c>
      <c r="G66" s="372">
        <v>149</v>
      </c>
      <c r="H66" s="373"/>
      <c r="I66" s="373"/>
    </row>
    <row r="67" spans="1:9" s="374" customFormat="1" ht="15.75" customHeight="1">
      <c r="A67" s="371" t="s">
        <v>243</v>
      </c>
      <c r="B67" s="371">
        <f t="shared" si="6"/>
        <v>7637</v>
      </c>
      <c r="C67" s="372">
        <v>1032</v>
      </c>
      <c r="D67" s="372">
        <f>2893-350</f>
        <v>2543</v>
      </c>
      <c r="E67" s="372">
        <v>2849</v>
      </c>
      <c r="F67" s="372">
        <v>1064</v>
      </c>
      <c r="G67" s="372">
        <v>149</v>
      </c>
      <c r="H67" s="373"/>
      <c r="I67" s="373"/>
    </row>
    <row r="68" spans="1:9" s="313" customFormat="1" ht="17.25" customHeight="1">
      <c r="A68" s="314" t="s">
        <v>10</v>
      </c>
      <c r="B68" s="79">
        <f>SUM(C68:G68)</f>
        <v>100.00000000000001</v>
      </c>
      <c r="C68" s="79">
        <f>ROUND(C67/$B67*100,2)</f>
        <v>13.51</v>
      </c>
      <c r="D68" s="79">
        <f>ROUND(D67/$B67*100,2)</f>
        <v>33.3</v>
      </c>
      <c r="E68" s="79">
        <f>ROUND(E67/$B67*100,2)</f>
        <v>37.31</v>
      </c>
      <c r="F68" s="79">
        <f>ROUND(F67/$B67*100,2)</f>
        <v>13.93</v>
      </c>
      <c r="G68" s="79">
        <f>ROUND(G67/$B67*100,2)</f>
        <v>1.95</v>
      </c>
      <c r="H68" s="312"/>
      <c r="I68" s="312"/>
    </row>
    <row r="69" spans="1:7" ht="24" customHeight="1">
      <c r="A69" s="30"/>
      <c r="B69" s="77"/>
      <c r="C69" s="200"/>
      <c r="D69" s="200"/>
      <c r="E69" s="200"/>
      <c r="F69" s="200"/>
      <c r="G69" s="200"/>
    </row>
    <row r="70" spans="1:7" ht="24" customHeight="1">
      <c r="A70" s="6"/>
      <c r="B70" s="7"/>
      <c r="C70" s="80"/>
      <c r="D70" s="7"/>
      <c r="E70" s="7"/>
      <c r="F70" s="7"/>
      <c r="G70" s="81"/>
    </row>
    <row r="71" spans="1:3" ht="24" customHeight="1">
      <c r="A71" s="6"/>
      <c r="B71" s="7"/>
      <c r="C71" s="80"/>
    </row>
    <row r="84" spans="10:17" ht="24" customHeight="1">
      <c r="J84" s="1"/>
      <c r="K84" s="1"/>
      <c r="L84" s="1"/>
      <c r="M84" s="1"/>
      <c r="N84" s="1"/>
      <c r="O84" s="1"/>
      <c r="P84" s="1"/>
      <c r="Q84" s="1"/>
    </row>
    <row r="85" spans="10:17" ht="24" customHeight="1">
      <c r="J85" s="1"/>
      <c r="K85" s="1"/>
      <c r="L85" s="1"/>
      <c r="M85" s="1"/>
      <c r="N85" s="1"/>
      <c r="O85" s="1"/>
      <c r="P85" s="1"/>
      <c r="Q85" s="1"/>
    </row>
    <row r="86" spans="10:17" ht="24" customHeight="1">
      <c r="J86" s="1"/>
      <c r="K86" s="1"/>
      <c r="L86" s="1"/>
      <c r="M86" s="1"/>
      <c r="N86" s="1"/>
      <c r="O86" s="1"/>
      <c r="P86" s="1"/>
      <c r="Q86" s="1"/>
    </row>
    <row r="87" spans="10:17" ht="24" customHeight="1">
      <c r="J87" s="1"/>
      <c r="K87" s="1"/>
      <c r="L87" s="1"/>
      <c r="M87" s="1"/>
      <c r="N87" s="1"/>
      <c r="O87" s="1"/>
      <c r="P87" s="1"/>
      <c r="Q87" s="1"/>
    </row>
    <row r="88" spans="10:17" ht="24" customHeight="1">
      <c r="J88" s="1"/>
      <c r="K88" s="1"/>
      <c r="L88" s="1"/>
      <c r="M88" s="1"/>
      <c r="N88" s="1"/>
      <c r="O88" s="1"/>
      <c r="P88" s="1"/>
      <c r="Q88" s="1"/>
    </row>
    <row r="89" spans="10:17" ht="24" customHeight="1">
      <c r="J89" s="1"/>
      <c r="K89" s="1"/>
      <c r="L89" s="1"/>
      <c r="M89" s="1"/>
      <c r="N89" s="1"/>
      <c r="O89" s="1"/>
      <c r="P89" s="1"/>
      <c r="Q89" s="1"/>
    </row>
    <row r="90" spans="10:17" ht="24" customHeight="1">
      <c r="J90" s="1"/>
      <c r="K90" s="1"/>
      <c r="L90" s="1"/>
      <c r="M90" s="1"/>
      <c r="N90" s="1"/>
      <c r="O90" s="1"/>
      <c r="P90" s="1"/>
      <c r="Q90" s="1"/>
    </row>
    <row r="91" spans="10:17" ht="24" customHeight="1">
      <c r="J91" s="1"/>
      <c r="K91" s="1"/>
      <c r="L91" s="1"/>
      <c r="M91" s="1"/>
      <c r="N91" s="1"/>
      <c r="O91" s="1"/>
      <c r="P91" s="1"/>
      <c r="Q91" s="1"/>
    </row>
    <row r="92" spans="10:17" ht="24" customHeight="1">
      <c r="J92" s="1"/>
      <c r="K92" s="1"/>
      <c r="L92" s="1"/>
      <c r="M92" s="1"/>
      <c r="N92" s="1"/>
      <c r="O92" s="1"/>
      <c r="P92" s="1"/>
      <c r="Q92" s="1"/>
    </row>
    <row r="93" spans="10:17" ht="24" customHeight="1">
      <c r="J93" s="1"/>
      <c r="K93" s="1"/>
      <c r="L93" s="1"/>
      <c r="M93" s="1"/>
      <c r="N93" s="1"/>
      <c r="O93" s="1"/>
      <c r="P93" s="1"/>
      <c r="Q93" s="1"/>
    </row>
    <row r="94" spans="10:17" ht="24" customHeight="1">
      <c r="J94" s="1"/>
      <c r="K94" s="1"/>
      <c r="L94" s="1"/>
      <c r="M94" s="1"/>
      <c r="N94" s="1"/>
      <c r="O94" s="1"/>
      <c r="P94" s="1"/>
      <c r="Q94" s="1"/>
    </row>
    <row r="95" spans="10:17" ht="24" customHeight="1">
      <c r="J95" s="1"/>
      <c r="K95" s="1"/>
      <c r="L95" s="1"/>
      <c r="M95" s="1"/>
      <c r="N95" s="1"/>
      <c r="O95" s="1"/>
      <c r="P95" s="1"/>
      <c r="Q95" s="1"/>
    </row>
    <row r="96" spans="10:17" ht="24" customHeight="1">
      <c r="J96" s="1"/>
      <c r="K96" s="1"/>
      <c r="L96" s="1"/>
      <c r="M96" s="1"/>
      <c r="N96" s="1"/>
      <c r="O96" s="1"/>
      <c r="P96" s="1"/>
      <c r="Q96" s="1"/>
    </row>
    <row r="97" spans="10:17" ht="24" customHeight="1">
      <c r="J97" s="1"/>
      <c r="K97" s="1"/>
      <c r="L97" s="1"/>
      <c r="M97" s="1"/>
      <c r="N97" s="1"/>
      <c r="O97" s="1"/>
      <c r="P97" s="1"/>
      <c r="Q97" s="1"/>
    </row>
  </sheetData>
  <sheetProtection/>
  <mergeCells count="7">
    <mergeCell ref="G4:G6"/>
    <mergeCell ref="F4:F6"/>
    <mergeCell ref="A4:A6"/>
    <mergeCell ref="B4:B6"/>
    <mergeCell ref="C4:C6"/>
    <mergeCell ref="D4:D6"/>
    <mergeCell ref="E4:E6"/>
  </mergeCells>
  <printOptions verticalCentered="1"/>
  <pageMargins left="2.11" right="1.0236220472440944" top="0.36" bottom="0.35433070866141736" header="0.47" footer="0.2755905511811024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J138"/>
  <sheetViews>
    <sheetView tabSelected="1" zoomScale="120" zoomScaleNormal="120" zoomScalePageLayoutView="0" workbookViewId="0" topLeftCell="A1">
      <pane xSplit="2" ySplit="7" topLeftCell="N1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O68" sqref="O68"/>
    </sheetView>
  </sheetViews>
  <sheetFormatPr defaultColWidth="9.00390625" defaultRowHeight="30" customHeight="1"/>
  <cols>
    <col min="1" max="1" width="1.25" style="1" customWidth="1"/>
    <col min="2" max="2" width="10.875" style="42" customWidth="1"/>
    <col min="3" max="3" width="9.375" style="42" bestFit="1" customWidth="1"/>
    <col min="4" max="4" width="8.625" style="42" bestFit="1" customWidth="1"/>
    <col min="5" max="8" width="9.375" style="37" bestFit="1" customWidth="1"/>
    <col min="9" max="9" width="8.625" style="37" bestFit="1" customWidth="1"/>
    <col min="10" max="10" width="9.375" style="37" bestFit="1" customWidth="1"/>
    <col min="11" max="11" width="8.625" style="37" bestFit="1" customWidth="1"/>
    <col min="12" max="13" width="9.375" style="37" bestFit="1" customWidth="1"/>
    <col min="14" max="14" width="8.50390625" style="37" customWidth="1"/>
    <col min="15" max="16" width="8.625" style="37" bestFit="1" customWidth="1"/>
    <col min="17" max="17" width="13.00390625" style="37" customWidth="1"/>
    <col min="18" max="18" width="8.50390625" style="37" bestFit="1" customWidth="1"/>
    <col min="19" max="19" width="11.00390625" style="37" customWidth="1"/>
    <col min="20" max="22" width="10.875" style="37" customWidth="1"/>
    <col min="23" max="23" width="11.00390625" style="37" customWidth="1"/>
    <col min="24" max="24" width="11.375" style="37" customWidth="1"/>
    <col min="25" max="25" width="11.625" style="37" customWidth="1"/>
    <col min="26" max="26" width="10.75390625" style="37" customWidth="1"/>
    <col min="27" max="27" width="11.125" style="37" customWidth="1"/>
  </cols>
  <sheetData>
    <row r="1" ht="13.5" customHeight="1"/>
    <row r="2" ht="12.75" customHeight="1"/>
    <row r="3" spans="1:27" s="33" customFormat="1" ht="26.25" customHeight="1">
      <c r="A3" s="70"/>
      <c r="B3" s="23" t="s">
        <v>11</v>
      </c>
      <c r="C3" s="37"/>
      <c r="D3" s="37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Q3" s="23" t="s">
        <v>74</v>
      </c>
      <c r="R3" s="36"/>
      <c r="S3" s="36"/>
      <c r="T3" s="36"/>
      <c r="U3" s="36"/>
      <c r="V3" s="36"/>
      <c r="W3" s="36"/>
      <c r="X3" s="36"/>
      <c r="Y3" s="36"/>
      <c r="Z3" s="36"/>
      <c r="AA3" s="36"/>
    </row>
    <row r="4" spans="2:27" ht="18.75" customHeight="1">
      <c r="B4" s="38"/>
      <c r="C4" s="38"/>
      <c r="D4" s="38"/>
      <c r="E4" s="36"/>
      <c r="F4" s="36"/>
      <c r="G4" s="36"/>
      <c r="H4" s="36"/>
      <c r="I4" s="36"/>
      <c r="J4" s="36"/>
      <c r="K4" s="36"/>
      <c r="L4" s="36"/>
      <c r="M4" s="36"/>
      <c r="O4" s="402" t="s">
        <v>83</v>
      </c>
      <c r="P4" s="403"/>
      <c r="Q4" s="36"/>
      <c r="R4" s="36"/>
      <c r="S4" s="36"/>
      <c r="T4" s="36"/>
      <c r="U4" s="36"/>
      <c r="V4" s="36"/>
      <c r="W4" s="36"/>
      <c r="X4" s="36"/>
      <c r="Y4" s="36"/>
      <c r="Z4" s="402" t="s">
        <v>83</v>
      </c>
      <c r="AA4" s="403"/>
    </row>
    <row r="5" spans="2:27" ht="15.75" customHeight="1">
      <c r="B5" s="399" t="s">
        <v>69</v>
      </c>
      <c r="C5" s="404" t="s">
        <v>12</v>
      </c>
      <c r="D5" s="405"/>
      <c r="E5" s="405"/>
      <c r="F5" s="405"/>
      <c r="G5" s="406"/>
      <c r="H5" s="404" t="s">
        <v>6</v>
      </c>
      <c r="I5" s="410"/>
      <c r="J5" s="410"/>
      <c r="K5" s="410"/>
      <c r="L5" s="411"/>
      <c r="M5" s="404" t="s">
        <v>193</v>
      </c>
      <c r="N5" s="405"/>
      <c r="O5" s="405"/>
      <c r="P5" s="406"/>
      <c r="Q5" s="404" t="s">
        <v>7</v>
      </c>
      <c r="R5" s="405"/>
      <c r="S5" s="405"/>
      <c r="T5" s="406"/>
      <c r="U5" s="420" t="s">
        <v>8</v>
      </c>
      <c r="V5" s="421"/>
      <c r="W5" s="388"/>
      <c r="X5" s="404" t="s">
        <v>87</v>
      </c>
      <c r="Y5" s="415"/>
      <c r="Z5" s="415"/>
      <c r="AA5" s="416"/>
    </row>
    <row r="6" spans="2:27" ht="15.75" customHeight="1">
      <c r="B6" s="400"/>
      <c r="C6" s="407"/>
      <c r="D6" s="408"/>
      <c r="E6" s="408"/>
      <c r="F6" s="408"/>
      <c r="G6" s="409"/>
      <c r="H6" s="412"/>
      <c r="I6" s="413"/>
      <c r="J6" s="413"/>
      <c r="K6" s="413"/>
      <c r="L6" s="414"/>
      <c r="M6" s="407"/>
      <c r="N6" s="408"/>
      <c r="O6" s="408"/>
      <c r="P6" s="409"/>
      <c r="Q6" s="407"/>
      <c r="R6" s="408"/>
      <c r="S6" s="408"/>
      <c r="T6" s="409"/>
      <c r="U6" s="396" t="s">
        <v>9</v>
      </c>
      <c r="V6" s="397"/>
      <c r="W6" s="398"/>
      <c r="X6" s="417"/>
      <c r="Y6" s="418"/>
      <c r="Z6" s="418"/>
      <c r="AA6" s="419"/>
    </row>
    <row r="7" spans="2:27" ht="15.75" customHeight="1">
      <c r="B7" s="401"/>
      <c r="C7" s="35" t="s">
        <v>13</v>
      </c>
      <c r="D7" s="35" t="s">
        <v>59</v>
      </c>
      <c r="E7" s="35" t="s">
        <v>14</v>
      </c>
      <c r="F7" s="35" t="s">
        <v>15</v>
      </c>
      <c r="G7" s="296" t="s">
        <v>16</v>
      </c>
      <c r="H7" s="35" t="s">
        <v>17</v>
      </c>
      <c r="I7" s="35" t="s">
        <v>59</v>
      </c>
      <c r="J7" s="35" t="s">
        <v>14</v>
      </c>
      <c r="K7" s="296" t="s">
        <v>15</v>
      </c>
      <c r="L7" s="296" t="s">
        <v>16</v>
      </c>
      <c r="M7" s="35" t="s">
        <v>17</v>
      </c>
      <c r="N7" s="35" t="s">
        <v>59</v>
      </c>
      <c r="O7" s="35" t="s">
        <v>14</v>
      </c>
      <c r="P7" s="35" t="s">
        <v>15</v>
      </c>
      <c r="Q7" s="35" t="s">
        <v>17</v>
      </c>
      <c r="R7" s="35" t="s">
        <v>59</v>
      </c>
      <c r="S7" s="35" t="s">
        <v>14</v>
      </c>
      <c r="T7" s="35" t="s">
        <v>15</v>
      </c>
      <c r="U7" s="35" t="s">
        <v>17</v>
      </c>
      <c r="V7" s="35" t="s">
        <v>240</v>
      </c>
      <c r="W7" s="35" t="s">
        <v>15</v>
      </c>
      <c r="X7" s="35" t="s">
        <v>17</v>
      </c>
      <c r="Y7" s="35" t="s">
        <v>59</v>
      </c>
      <c r="Z7" s="297" t="s">
        <v>14</v>
      </c>
      <c r="AA7" s="297" t="s">
        <v>54</v>
      </c>
    </row>
    <row r="8" spans="2:27" s="1" customFormat="1" ht="15.75" customHeight="1">
      <c r="B8" s="83" t="s">
        <v>73</v>
      </c>
      <c r="C8" s="39">
        <v>617844</v>
      </c>
      <c r="D8" s="39">
        <v>301</v>
      </c>
      <c r="E8" s="39">
        <v>291052</v>
      </c>
      <c r="F8" s="39">
        <v>203880</v>
      </c>
      <c r="G8" s="39">
        <v>122611</v>
      </c>
      <c r="H8" s="39">
        <v>275636</v>
      </c>
      <c r="I8" s="39">
        <v>221</v>
      </c>
      <c r="J8" s="39">
        <v>112940</v>
      </c>
      <c r="K8" s="39">
        <v>39864</v>
      </c>
      <c r="L8" s="39">
        <v>122611</v>
      </c>
      <c r="M8" s="39">
        <v>77040</v>
      </c>
      <c r="N8" s="39">
        <v>53</v>
      </c>
      <c r="O8" s="39">
        <v>40852</v>
      </c>
      <c r="P8" s="39">
        <v>36135</v>
      </c>
      <c r="Q8" s="39">
        <v>214588</v>
      </c>
      <c r="R8" s="39">
        <v>26</v>
      </c>
      <c r="S8" s="39">
        <v>86681</v>
      </c>
      <c r="T8" s="39">
        <v>127881</v>
      </c>
      <c r="U8" s="39"/>
      <c r="V8" s="39">
        <v>19904</v>
      </c>
      <c r="X8" s="39">
        <v>30676</v>
      </c>
      <c r="Y8" s="39">
        <v>1</v>
      </c>
      <c r="Z8" s="39">
        <v>30675</v>
      </c>
      <c r="AA8" s="96">
        <v>0</v>
      </c>
    </row>
    <row r="9" spans="2:27" s="1" customFormat="1" ht="15.75" customHeight="1">
      <c r="B9" s="83" t="s">
        <v>77</v>
      </c>
      <c r="C9" s="39">
        <v>617113</v>
      </c>
      <c r="D9" s="39">
        <v>313</v>
      </c>
      <c r="E9" s="39">
        <v>287965</v>
      </c>
      <c r="F9" s="39">
        <v>204744</v>
      </c>
      <c r="G9" s="39">
        <v>124091</v>
      </c>
      <c r="H9" s="39">
        <v>275740</v>
      </c>
      <c r="I9" s="39">
        <v>223</v>
      </c>
      <c r="J9" s="39">
        <v>111105</v>
      </c>
      <c r="K9" s="39">
        <v>40321</v>
      </c>
      <c r="L9" s="39">
        <v>124091</v>
      </c>
      <c r="M9" s="39">
        <v>76187</v>
      </c>
      <c r="N9" s="39">
        <v>61</v>
      </c>
      <c r="O9" s="39">
        <v>40296</v>
      </c>
      <c r="P9" s="39">
        <v>35830</v>
      </c>
      <c r="Q9" s="39">
        <v>216485</v>
      </c>
      <c r="R9" s="39">
        <v>27</v>
      </c>
      <c r="S9" s="39">
        <v>87865</v>
      </c>
      <c r="T9" s="39">
        <v>128593</v>
      </c>
      <c r="U9" s="39"/>
      <c r="V9" s="39">
        <v>19840</v>
      </c>
      <c r="X9" s="39">
        <v>28861</v>
      </c>
      <c r="Y9" s="39">
        <v>2</v>
      </c>
      <c r="Z9" s="39">
        <v>28859</v>
      </c>
      <c r="AA9" s="96">
        <v>0</v>
      </c>
    </row>
    <row r="10" spans="2:27" s="1" customFormat="1" ht="15.75" customHeight="1">
      <c r="B10" s="83" t="s">
        <v>88</v>
      </c>
      <c r="C10" s="39">
        <v>605739</v>
      </c>
      <c r="D10" s="170">
        <v>0</v>
      </c>
      <c r="E10" s="39">
        <v>286123</v>
      </c>
      <c r="F10" s="39">
        <v>202603</v>
      </c>
      <c r="G10" s="39">
        <v>117013</v>
      </c>
      <c r="H10" s="39">
        <v>269043</v>
      </c>
      <c r="I10" s="170">
        <v>0</v>
      </c>
      <c r="J10" s="39">
        <v>111731</v>
      </c>
      <c r="K10" s="39">
        <v>40299</v>
      </c>
      <c r="L10" s="39">
        <v>117013</v>
      </c>
      <c r="M10" s="39">
        <v>74854</v>
      </c>
      <c r="N10" s="170">
        <v>0</v>
      </c>
      <c r="O10" s="39">
        <v>39374</v>
      </c>
      <c r="P10" s="39">
        <v>35480</v>
      </c>
      <c r="Q10" s="39">
        <v>214745</v>
      </c>
      <c r="R10" s="170">
        <v>0</v>
      </c>
      <c r="S10" s="39">
        <v>87921</v>
      </c>
      <c r="T10" s="39">
        <v>126824</v>
      </c>
      <c r="U10" s="39"/>
      <c r="V10" s="39">
        <v>19788</v>
      </c>
      <c r="X10" s="39">
        <v>27309</v>
      </c>
      <c r="Y10" s="170">
        <v>0</v>
      </c>
      <c r="Z10" s="39">
        <v>27309</v>
      </c>
      <c r="AA10" s="96">
        <v>0</v>
      </c>
    </row>
    <row r="11" spans="2:27" s="1" customFormat="1" ht="15.75" customHeight="1">
      <c r="B11" s="83" t="s">
        <v>94</v>
      </c>
      <c r="C11" s="39">
        <v>596650</v>
      </c>
      <c r="D11" s="170">
        <v>0</v>
      </c>
      <c r="E11" s="39">
        <v>283387</v>
      </c>
      <c r="F11" s="171">
        <v>201536</v>
      </c>
      <c r="G11" s="172">
        <v>111727</v>
      </c>
      <c r="H11" s="39">
        <v>263239</v>
      </c>
      <c r="I11" s="170">
        <v>0</v>
      </c>
      <c r="J11" s="39">
        <v>111111</v>
      </c>
      <c r="K11" s="39">
        <v>40401</v>
      </c>
      <c r="L11" s="39">
        <v>111727</v>
      </c>
      <c r="M11" s="39">
        <v>73719</v>
      </c>
      <c r="N11" s="170">
        <v>0</v>
      </c>
      <c r="O11" s="39">
        <v>38607</v>
      </c>
      <c r="P11" s="39">
        <v>35112</v>
      </c>
      <c r="Q11" s="39">
        <v>214294</v>
      </c>
      <c r="R11" s="170">
        <v>0</v>
      </c>
      <c r="S11" s="39">
        <v>88271</v>
      </c>
      <c r="T11" s="39">
        <v>126023</v>
      </c>
      <c r="U11" s="39"/>
      <c r="V11" s="39">
        <v>19503</v>
      </c>
      <c r="X11" s="39">
        <v>25895</v>
      </c>
      <c r="Y11" s="170">
        <v>0</v>
      </c>
      <c r="Z11" s="39">
        <v>25895</v>
      </c>
      <c r="AA11" s="173">
        <v>0</v>
      </c>
    </row>
    <row r="12" spans="2:27" s="1" customFormat="1" ht="15.75" customHeight="1">
      <c r="B12" s="83" t="s">
        <v>136</v>
      </c>
      <c r="C12" s="39">
        <v>590888</v>
      </c>
      <c r="D12" s="170">
        <v>0</v>
      </c>
      <c r="E12" s="39">
        <v>282097</v>
      </c>
      <c r="F12" s="171">
        <v>201187</v>
      </c>
      <c r="G12" s="172">
        <v>107604</v>
      </c>
      <c r="H12" s="39">
        <v>258655</v>
      </c>
      <c r="I12" s="170">
        <v>0</v>
      </c>
      <c r="J12" s="39">
        <v>110447</v>
      </c>
      <c r="K12" s="39">
        <v>40604</v>
      </c>
      <c r="L12" s="39">
        <v>107604</v>
      </c>
      <c r="M12" s="39">
        <v>72842</v>
      </c>
      <c r="N12" s="170">
        <v>0</v>
      </c>
      <c r="O12" s="39">
        <v>38211</v>
      </c>
      <c r="P12" s="39">
        <v>34631</v>
      </c>
      <c r="Q12" s="39">
        <v>215487</v>
      </c>
      <c r="R12" s="170">
        <v>0</v>
      </c>
      <c r="S12" s="39">
        <v>89535</v>
      </c>
      <c r="T12" s="39">
        <v>125952</v>
      </c>
      <c r="U12" s="39"/>
      <c r="V12" s="39">
        <v>19116</v>
      </c>
      <c r="X12" s="39">
        <v>24788</v>
      </c>
      <c r="Y12" s="170">
        <v>0</v>
      </c>
      <c r="Z12" s="39">
        <v>24788</v>
      </c>
      <c r="AA12" s="173">
        <v>0</v>
      </c>
    </row>
    <row r="13" spans="2:27" s="1" customFormat="1" ht="15.75" customHeight="1">
      <c r="B13" s="83" t="s">
        <v>138</v>
      </c>
      <c r="C13" s="39">
        <v>603034</v>
      </c>
      <c r="D13" s="170">
        <v>0</v>
      </c>
      <c r="E13" s="39">
        <v>283376</v>
      </c>
      <c r="F13" s="171">
        <v>201097</v>
      </c>
      <c r="G13" s="172">
        <v>118561</v>
      </c>
      <c r="H13" s="39">
        <v>271187</v>
      </c>
      <c r="I13" s="170">
        <v>0</v>
      </c>
      <c r="J13" s="39">
        <v>111620</v>
      </c>
      <c r="K13" s="39">
        <v>41006</v>
      </c>
      <c r="L13" s="39">
        <v>118561</v>
      </c>
      <c r="M13" s="39">
        <v>72295</v>
      </c>
      <c r="N13" s="170">
        <v>0</v>
      </c>
      <c r="O13" s="39">
        <v>38025</v>
      </c>
      <c r="P13" s="39">
        <v>34270</v>
      </c>
      <c r="Q13" s="39">
        <v>216415</v>
      </c>
      <c r="R13" s="170">
        <v>0</v>
      </c>
      <c r="S13" s="39">
        <v>90594</v>
      </c>
      <c r="T13" s="39">
        <v>125821</v>
      </c>
      <c r="U13" s="39"/>
      <c r="V13" s="39">
        <v>18881</v>
      </c>
      <c r="X13" s="39">
        <v>24256</v>
      </c>
      <c r="Y13" s="170">
        <v>0</v>
      </c>
      <c r="Z13" s="39">
        <v>24256</v>
      </c>
      <c r="AA13" s="173">
        <v>0</v>
      </c>
    </row>
    <row r="14" spans="2:27" s="1" customFormat="1" ht="15.75" customHeight="1">
      <c r="B14" s="83" t="s">
        <v>143</v>
      </c>
      <c r="C14" s="203">
        <f>SUM(D14:G14)</f>
        <v>612755</v>
      </c>
      <c r="D14" s="204">
        <f>I14+N14+R14+Y14</f>
        <v>0</v>
      </c>
      <c r="E14" s="203">
        <f>J14+O14+S14+V14+Z14</f>
        <v>287824</v>
      </c>
      <c r="F14" s="171">
        <f>K14+P14+T14+AA14</f>
        <v>200317</v>
      </c>
      <c r="G14" s="205">
        <f>L14</f>
        <v>124614</v>
      </c>
      <c r="H14" s="203">
        <f>SUM(I14:L14)</f>
        <v>278837</v>
      </c>
      <c r="I14" s="204">
        <v>0</v>
      </c>
      <c r="J14" s="203">
        <v>113054</v>
      </c>
      <c r="K14" s="203">
        <v>41169</v>
      </c>
      <c r="L14" s="203">
        <v>124614</v>
      </c>
      <c r="M14" s="203">
        <f>SUM(N14:P14)</f>
        <v>73328</v>
      </c>
      <c r="N14" s="204">
        <v>0</v>
      </c>
      <c r="O14" s="203">
        <v>39565</v>
      </c>
      <c r="P14" s="203">
        <v>33763</v>
      </c>
      <c r="Q14" s="203">
        <f>SUM(R14:T14)</f>
        <v>217386</v>
      </c>
      <c r="R14" s="204">
        <v>0</v>
      </c>
      <c r="S14" s="203">
        <v>92001</v>
      </c>
      <c r="T14" s="203">
        <v>125385</v>
      </c>
      <c r="U14" s="203"/>
      <c r="V14" s="203">
        <v>18803</v>
      </c>
      <c r="X14" s="203">
        <f>SUM(Y14:AA14)</f>
        <v>24401</v>
      </c>
      <c r="Y14" s="204">
        <v>0</v>
      </c>
      <c r="Z14" s="203">
        <v>24401</v>
      </c>
      <c r="AA14" s="206">
        <v>0</v>
      </c>
    </row>
    <row r="15" spans="2:27" s="1" customFormat="1" ht="15.75" customHeight="1">
      <c r="B15" s="83" t="s">
        <v>144</v>
      </c>
      <c r="C15" s="203">
        <f>SUM(D15:G15)</f>
        <v>629903</v>
      </c>
      <c r="D15" s="204">
        <f>I15+N15+R15+Y15</f>
        <v>0</v>
      </c>
      <c r="E15" s="203">
        <f>J15+O15+S15+V15+Z15</f>
        <v>291581</v>
      </c>
      <c r="F15" s="171">
        <f>K15+P15+T15+AA15</f>
        <v>199007</v>
      </c>
      <c r="G15" s="205">
        <f>L15</f>
        <v>139315</v>
      </c>
      <c r="H15" s="203">
        <f>SUM(I15:L15)</f>
        <v>295436</v>
      </c>
      <c r="I15" s="204">
        <v>0</v>
      </c>
      <c r="J15" s="203">
        <v>114812</v>
      </c>
      <c r="K15" s="203">
        <v>41309</v>
      </c>
      <c r="L15" s="203">
        <v>139315</v>
      </c>
      <c r="M15" s="203">
        <f>SUM(N15:P15)</f>
        <v>73356</v>
      </c>
      <c r="N15" s="204">
        <v>0</v>
      </c>
      <c r="O15" s="203">
        <v>40099</v>
      </c>
      <c r="P15" s="203">
        <v>33257</v>
      </c>
      <c r="Q15" s="203">
        <f>SUM(R15:T15)</f>
        <v>218747</v>
      </c>
      <c r="R15" s="204">
        <v>0</v>
      </c>
      <c r="S15" s="203">
        <v>94306</v>
      </c>
      <c r="T15" s="203">
        <v>124441</v>
      </c>
      <c r="U15" s="203"/>
      <c r="V15" s="203">
        <v>18781</v>
      </c>
      <c r="X15" s="203">
        <f>SUM(Y15:AA15)</f>
        <v>23583</v>
      </c>
      <c r="Y15" s="204">
        <v>0</v>
      </c>
      <c r="Z15" s="203">
        <v>23583</v>
      </c>
      <c r="AA15" s="206">
        <v>0</v>
      </c>
    </row>
    <row r="16" spans="2:27" s="1" customFormat="1" ht="15.75" customHeight="1">
      <c r="B16" s="83" t="s">
        <v>159</v>
      </c>
      <c r="C16" s="203">
        <f>SUM(D16:G16)</f>
        <v>640082</v>
      </c>
      <c r="D16" s="204">
        <f>I16+N16+R16+Y16</f>
        <v>0</v>
      </c>
      <c r="E16" s="203">
        <f>J16+O16+S16+V16+Z16</f>
        <v>293861</v>
      </c>
      <c r="F16" s="171">
        <f>K16+P16+T16+AA16</f>
        <v>196840</v>
      </c>
      <c r="G16" s="205">
        <f>L16</f>
        <v>149381</v>
      </c>
      <c r="H16" s="203">
        <f>SUM(I16:L16)</f>
        <v>306813</v>
      </c>
      <c r="I16" s="204">
        <v>0</v>
      </c>
      <c r="J16" s="203">
        <v>116150</v>
      </c>
      <c r="K16" s="203">
        <v>41282</v>
      </c>
      <c r="L16" s="203">
        <v>149381</v>
      </c>
      <c r="M16" s="203">
        <f>SUM(N16:P16)</f>
        <v>164534</v>
      </c>
      <c r="N16" s="204">
        <v>0</v>
      </c>
      <c r="O16" s="203">
        <v>81069</v>
      </c>
      <c r="P16" s="203">
        <v>83465</v>
      </c>
      <c r="Q16" s="203">
        <f>SUM(R16:T16)</f>
        <v>132181</v>
      </c>
      <c r="R16" s="204">
        <v>0</v>
      </c>
      <c r="S16" s="203">
        <v>60088</v>
      </c>
      <c r="T16" s="203">
        <v>72093</v>
      </c>
      <c r="U16" s="203"/>
      <c r="V16" s="203">
        <v>13242</v>
      </c>
      <c r="X16" s="203">
        <f>SUM(Y16:AA16)</f>
        <v>23312</v>
      </c>
      <c r="Y16" s="204">
        <v>0</v>
      </c>
      <c r="Z16" s="203">
        <v>23312</v>
      </c>
      <c r="AA16" s="206">
        <v>0</v>
      </c>
    </row>
    <row r="17" spans="2:27" s="1" customFormat="1" ht="15.75">
      <c r="B17" s="268" t="s">
        <v>162</v>
      </c>
      <c r="C17" s="203">
        <v>631690</v>
      </c>
      <c r="D17" s="204">
        <v>0</v>
      </c>
      <c r="E17" s="203">
        <v>291487</v>
      </c>
      <c r="F17" s="171">
        <v>194064</v>
      </c>
      <c r="G17" s="205">
        <v>146139</v>
      </c>
      <c r="H17" s="203">
        <v>301688</v>
      </c>
      <c r="I17" s="204">
        <v>0</v>
      </c>
      <c r="J17" s="203">
        <v>114412</v>
      </c>
      <c r="K17" s="203">
        <v>41137</v>
      </c>
      <c r="L17" s="203">
        <v>146139</v>
      </c>
      <c r="M17" s="203">
        <v>179498</v>
      </c>
      <c r="N17" s="204">
        <v>0</v>
      </c>
      <c r="O17" s="203">
        <v>89497</v>
      </c>
      <c r="P17" s="203">
        <v>90001</v>
      </c>
      <c r="Q17" s="203">
        <v>116180</v>
      </c>
      <c r="R17" s="204">
        <v>0</v>
      </c>
      <c r="S17" s="203">
        <v>53254</v>
      </c>
      <c r="T17" s="203">
        <v>62926</v>
      </c>
      <c r="U17" s="203"/>
      <c r="V17" s="203">
        <v>11464</v>
      </c>
      <c r="X17" s="203">
        <v>22860</v>
      </c>
      <c r="Y17" s="204">
        <v>0</v>
      </c>
      <c r="Z17" s="203">
        <v>22860</v>
      </c>
      <c r="AA17" s="206">
        <v>0</v>
      </c>
    </row>
    <row r="18" spans="2:27" s="1" customFormat="1" ht="15.75" customHeight="1" hidden="1">
      <c r="B18" s="186" t="s">
        <v>163</v>
      </c>
      <c r="C18" s="186">
        <f aca="true" t="shared" si="0" ref="C18:C35">SUM(D18:G18)</f>
        <v>641137</v>
      </c>
      <c r="D18" s="204">
        <v>0</v>
      </c>
      <c r="E18" s="186">
        <f aca="true" t="shared" si="1" ref="E18:E29">J18+O18+S18+V18+Z18</f>
        <v>293803</v>
      </c>
      <c r="F18" s="40">
        <f aca="true" t="shared" si="2" ref="F18:F29">K18+P18+T18+AA18</f>
        <v>196565</v>
      </c>
      <c r="G18" s="201">
        <f aca="true" t="shared" si="3" ref="G18:G36">L18</f>
        <v>150769</v>
      </c>
      <c r="H18" s="186">
        <f aca="true" t="shared" si="4" ref="H18:H35">SUM(I18:L18)</f>
        <v>308241</v>
      </c>
      <c r="I18" s="204">
        <v>0</v>
      </c>
      <c r="J18" s="186">
        <v>116288</v>
      </c>
      <c r="K18" s="186">
        <v>41184</v>
      </c>
      <c r="L18" s="186">
        <v>150769</v>
      </c>
      <c r="M18" s="186">
        <f aca="true" t="shared" si="5" ref="M18:M35">SUM(N18:P18)</f>
        <v>177735</v>
      </c>
      <c r="N18" s="204">
        <v>0</v>
      </c>
      <c r="O18" s="186">
        <v>86403</v>
      </c>
      <c r="P18" s="186">
        <v>91332</v>
      </c>
      <c r="Q18" s="186">
        <f aca="true" t="shared" si="6" ref="Q18:Q35">SUM(R18:T18)</f>
        <v>119987</v>
      </c>
      <c r="R18" s="204">
        <v>0</v>
      </c>
      <c r="S18" s="186">
        <v>55938</v>
      </c>
      <c r="T18" s="186">
        <v>64049</v>
      </c>
      <c r="U18" s="186"/>
      <c r="V18" s="186">
        <v>11859</v>
      </c>
      <c r="X18" s="186">
        <f aca="true" t="shared" si="7" ref="X18:X36">SUM(Y18:AA18)</f>
        <v>23315</v>
      </c>
      <c r="Y18" s="204">
        <v>0</v>
      </c>
      <c r="Z18" s="186">
        <v>23315</v>
      </c>
      <c r="AA18" s="206">
        <v>0</v>
      </c>
    </row>
    <row r="19" spans="2:27" s="1" customFormat="1" ht="15.75" customHeight="1" hidden="1">
      <c r="B19" s="186" t="s">
        <v>165</v>
      </c>
      <c r="C19" s="186">
        <f t="shared" si="0"/>
        <v>639033</v>
      </c>
      <c r="D19" s="204">
        <v>0</v>
      </c>
      <c r="E19" s="186">
        <f t="shared" si="1"/>
        <v>293875</v>
      </c>
      <c r="F19" s="40">
        <f t="shared" si="2"/>
        <v>195849</v>
      </c>
      <c r="G19" s="201">
        <f t="shared" si="3"/>
        <v>149309</v>
      </c>
      <c r="H19" s="186">
        <f t="shared" si="4"/>
        <v>306690</v>
      </c>
      <c r="I19" s="204">
        <v>0</v>
      </c>
      <c r="J19" s="186">
        <v>116359</v>
      </c>
      <c r="K19" s="186">
        <v>41022</v>
      </c>
      <c r="L19" s="186">
        <v>149309</v>
      </c>
      <c r="M19" s="186">
        <f t="shared" si="5"/>
        <v>179091</v>
      </c>
      <c r="N19" s="204">
        <v>0</v>
      </c>
      <c r="O19" s="186">
        <v>88093</v>
      </c>
      <c r="P19" s="186">
        <v>90998</v>
      </c>
      <c r="Q19" s="186">
        <f t="shared" si="6"/>
        <v>118141</v>
      </c>
      <c r="R19" s="204">
        <v>0</v>
      </c>
      <c r="S19" s="186">
        <v>54312</v>
      </c>
      <c r="T19" s="186">
        <v>63829</v>
      </c>
      <c r="U19" s="186"/>
      <c r="V19" s="186">
        <v>11771</v>
      </c>
      <c r="X19" s="186">
        <f t="shared" si="7"/>
        <v>23340</v>
      </c>
      <c r="Y19" s="204">
        <v>0</v>
      </c>
      <c r="Z19" s="186">
        <v>23340</v>
      </c>
      <c r="AA19" s="206">
        <v>0</v>
      </c>
    </row>
    <row r="20" spans="2:27" s="1" customFormat="1" ht="15.75" customHeight="1" hidden="1">
      <c r="B20" s="186" t="s">
        <v>166</v>
      </c>
      <c r="C20" s="186">
        <f t="shared" si="0"/>
        <v>637568</v>
      </c>
      <c r="D20" s="204">
        <v>0</v>
      </c>
      <c r="E20" s="186">
        <f t="shared" si="1"/>
        <v>292812</v>
      </c>
      <c r="F20" s="40">
        <f t="shared" si="2"/>
        <v>195747</v>
      </c>
      <c r="G20" s="201">
        <f t="shared" si="3"/>
        <v>149009</v>
      </c>
      <c r="H20" s="186">
        <f t="shared" si="4"/>
        <v>305953</v>
      </c>
      <c r="I20" s="204">
        <v>0</v>
      </c>
      <c r="J20" s="186">
        <v>115833</v>
      </c>
      <c r="K20" s="186">
        <v>41111</v>
      </c>
      <c r="L20" s="186">
        <v>149009</v>
      </c>
      <c r="M20" s="186">
        <f t="shared" si="5"/>
        <v>179650</v>
      </c>
      <c r="N20" s="204">
        <v>0</v>
      </c>
      <c r="O20" s="186">
        <v>88783</v>
      </c>
      <c r="P20" s="186">
        <v>90867</v>
      </c>
      <c r="Q20" s="186">
        <f t="shared" si="6"/>
        <v>117141</v>
      </c>
      <c r="R20" s="204">
        <v>0</v>
      </c>
      <c r="S20" s="186">
        <v>53372</v>
      </c>
      <c r="T20" s="186">
        <v>63769</v>
      </c>
      <c r="U20" s="186"/>
      <c r="V20" s="186">
        <v>11620</v>
      </c>
      <c r="X20" s="186">
        <f t="shared" si="7"/>
        <v>23204</v>
      </c>
      <c r="Y20" s="204">
        <v>0</v>
      </c>
      <c r="Z20" s="186">
        <v>23204</v>
      </c>
      <c r="AA20" s="206">
        <v>0</v>
      </c>
    </row>
    <row r="21" spans="2:27" s="1" customFormat="1" ht="15.75" customHeight="1" hidden="1">
      <c r="B21" s="186" t="s">
        <v>167</v>
      </c>
      <c r="C21" s="186">
        <f t="shared" si="0"/>
        <v>638408</v>
      </c>
      <c r="D21" s="204">
        <v>0</v>
      </c>
      <c r="E21" s="186">
        <f t="shared" si="1"/>
        <v>292967</v>
      </c>
      <c r="F21" s="40">
        <f t="shared" si="2"/>
        <v>195663</v>
      </c>
      <c r="G21" s="201">
        <f t="shared" si="3"/>
        <v>149778</v>
      </c>
      <c r="H21" s="186">
        <f t="shared" si="4"/>
        <v>306506</v>
      </c>
      <c r="I21" s="204">
        <v>0</v>
      </c>
      <c r="J21" s="186">
        <v>115629</v>
      </c>
      <c r="K21" s="186">
        <v>41099</v>
      </c>
      <c r="L21" s="186">
        <v>149778</v>
      </c>
      <c r="M21" s="186">
        <f t="shared" si="5"/>
        <v>179811</v>
      </c>
      <c r="N21" s="204">
        <v>0</v>
      </c>
      <c r="O21" s="186">
        <v>88992</v>
      </c>
      <c r="P21" s="186">
        <v>90819</v>
      </c>
      <c r="Q21" s="186">
        <f t="shared" si="6"/>
        <v>117196</v>
      </c>
      <c r="R21" s="204">
        <v>0</v>
      </c>
      <c r="S21" s="186">
        <v>53451</v>
      </c>
      <c r="T21" s="186">
        <v>63745</v>
      </c>
      <c r="U21" s="186"/>
      <c r="V21" s="186">
        <v>11756</v>
      </c>
      <c r="X21" s="186">
        <f t="shared" si="7"/>
        <v>23139</v>
      </c>
      <c r="Y21" s="204">
        <v>0</v>
      </c>
      <c r="Z21" s="186">
        <v>23139</v>
      </c>
      <c r="AA21" s="206">
        <v>0</v>
      </c>
    </row>
    <row r="22" spans="2:27" s="1" customFormat="1" ht="15.75" customHeight="1" hidden="1">
      <c r="B22" s="186" t="s">
        <v>168</v>
      </c>
      <c r="C22" s="186">
        <f t="shared" si="0"/>
        <v>638834</v>
      </c>
      <c r="D22" s="204">
        <v>0</v>
      </c>
      <c r="E22" s="186">
        <f t="shared" si="1"/>
        <v>293729</v>
      </c>
      <c r="F22" s="40">
        <f t="shared" si="2"/>
        <v>195207</v>
      </c>
      <c r="G22" s="201">
        <f t="shared" si="3"/>
        <v>149898</v>
      </c>
      <c r="H22" s="186">
        <f t="shared" si="4"/>
        <v>306463</v>
      </c>
      <c r="I22" s="204">
        <v>0</v>
      </c>
      <c r="J22" s="186">
        <v>115542</v>
      </c>
      <c r="K22" s="186">
        <v>41023</v>
      </c>
      <c r="L22" s="186">
        <v>149898</v>
      </c>
      <c r="M22" s="186">
        <f t="shared" si="5"/>
        <v>180201</v>
      </c>
      <c r="N22" s="204">
        <v>0</v>
      </c>
      <c r="O22" s="186">
        <v>89462</v>
      </c>
      <c r="P22" s="186">
        <v>90739</v>
      </c>
      <c r="Q22" s="186">
        <f t="shared" si="6"/>
        <v>117186</v>
      </c>
      <c r="R22" s="204">
        <v>0</v>
      </c>
      <c r="S22" s="186">
        <v>53741</v>
      </c>
      <c r="T22" s="186">
        <v>63445</v>
      </c>
      <c r="U22" s="186"/>
      <c r="V22" s="186">
        <v>11897</v>
      </c>
      <c r="X22" s="186">
        <f t="shared" si="7"/>
        <v>23087</v>
      </c>
      <c r="Y22" s="204">
        <v>0</v>
      </c>
      <c r="Z22" s="186">
        <v>23087</v>
      </c>
      <c r="AA22" s="206">
        <v>0</v>
      </c>
    </row>
    <row r="23" spans="2:27" s="1" customFormat="1" ht="15.75" customHeight="1" hidden="1">
      <c r="B23" s="186" t="s">
        <v>170</v>
      </c>
      <c r="C23" s="186">
        <f t="shared" si="0"/>
        <v>638491</v>
      </c>
      <c r="D23" s="204">
        <v>0</v>
      </c>
      <c r="E23" s="186">
        <f t="shared" si="1"/>
        <v>292621</v>
      </c>
      <c r="F23" s="40">
        <f t="shared" si="2"/>
        <v>195332</v>
      </c>
      <c r="G23" s="201">
        <f t="shared" si="3"/>
        <v>150538</v>
      </c>
      <c r="H23" s="186">
        <f t="shared" si="4"/>
        <v>306573</v>
      </c>
      <c r="I23" s="204">
        <v>0</v>
      </c>
      <c r="J23" s="186">
        <v>115009</v>
      </c>
      <c r="K23" s="186">
        <v>41026</v>
      </c>
      <c r="L23" s="186">
        <v>150538</v>
      </c>
      <c r="M23" s="186">
        <f t="shared" si="5"/>
        <v>179940</v>
      </c>
      <c r="N23" s="204">
        <v>0</v>
      </c>
      <c r="O23" s="186">
        <v>89124</v>
      </c>
      <c r="P23" s="186">
        <v>90816</v>
      </c>
      <c r="Q23" s="186">
        <f t="shared" si="6"/>
        <v>117117</v>
      </c>
      <c r="R23" s="204">
        <v>0</v>
      </c>
      <c r="S23" s="186">
        <v>53627</v>
      </c>
      <c r="T23" s="186">
        <v>63490</v>
      </c>
      <c r="U23" s="186"/>
      <c r="V23" s="186">
        <v>11844</v>
      </c>
      <c r="X23" s="186">
        <f t="shared" si="7"/>
        <v>23017</v>
      </c>
      <c r="Y23" s="204">
        <v>0</v>
      </c>
      <c r="Z23" s="186">
        <v>23017</v>
      </c>
      <c r="AA23" s="206">
        <v>0</v>
      </c>
    </row>
    <row r="24" spans="2:27" s="1" customFormat="1" ht="15.75" customHeight="1" hidden="1">
      <c r="B24" s="186" t="s">
        <v>171</v>
      </c>
      <c r="C24" s="186">
        <f t="shared" si="0"/>
        <v>637257</v>
      </c>
      <c r="D24" s="204">
        <v>0</v>
      </c>
      <c r="E24" s="186">
        <f t="shared" si="1"/>
        <v>291081</v>
      </c>
      <c r="F24" s="40">
        <f t="shared" si="2"/>
        <v>195050</v>
      </c>
      <c r="G24" s="201">
        <f t="shared" si="3"/>
        <v>151126</v>
      </c>
      <c r="H24" s="186">
        <f t="shared" si="4"/>
        <v>306295</v>
      </c>
      <c r="I24" s="204">
        <v>0</v>
      </c>
      <c r="J24" s="186">
        <v>114265</v>
      </c>
      <c r="K24" s="186">
        <v>40904</v>
      </c>
      <c r="L24" s="186">
        <v>151126</v>
      </c>
      <c r="M24" s="186">
        <f t="shared" si="5"/>
        <v>179488</v>
      </c>
      <c r="N24" s="204">
        <v>0</v>
      </c>
      <c r="O24" s="186">
        <v>88773</v>
      </c>
      <c r="P24" s="186">
        <v>90715</v>
      </c>
      <c r="Q24" s="186">
        <f t="shared" si="6"/>
        <v>116862</v>
      </c>
      <c r="R24" s="204">
        <v>0</v>
      </c>
      <c r="S24" s="186">
        <v>53431</v>
      </c>
      <c r="T24" s="186">
        <v>63431</v>
      </c>
      <c r="U24" s="186"/>
      <c r="V24" s="186">
        <v>11755</v>
      </c>
      <c r="X24" s="186">
        <f t="shared" si="7"/>
        <v>22857</v>
      </c>
      <c r="Y24" s="204">
        <v>0</v>
      </c>
      <c r="Z24" s="186">
        <v>22857</v>
      </c>
      <c r="AA24" s="206">
        <v>0</v>
      </c>
    </row>
    <row r="25" spans="2:27" s="1" customFormat="1" ht="15.75" customHeight="1" hidden="1">
      <c r="B25" s="186" t="s">
        <v>172</v>
      </c>
      <c r="C25" s="186">
        <f t="shared" si="0"/>
        <v>632740</v>
      </c>
      <c r="D25" s="204">
        <v>0</v>
      </c>
      <c r="E25" s="186">
        <f t="shared" si="1"/>
        <v>290285</v>
      </c>
      <c r="F25" s="40">
        <f t="shared" si="2"/>
        <v>192671</v>
      </c>
      <c r="G25" s="201">
        <f t="shared" si="3"/>
        <v>149784</v>
      </c>
      <c r="H25" s="186">
        <f t="shared" si="4"/>
        <v>304266</v>
      </c>
      <c r="I25" s="204">
        <v>0</v>
      </c>
      <c r="J25" s="186">
        <v>114128</v>
      </c>
      <c r="K25" s="186">
        <v>40354</v>
      </c>
      <c r="L25" s="186">
        <v>149784</v>
      </c>
      <c r="M25" s="186">
        <f t="shared" si="5"/>
        <v>178041</v>
      </c>
      <c r="N25" s="204">
        <v>0</v>
      </c>
      <c r="O25" s="186">
        <v>88447</v>
      </c>
      <c r="P25" s="186">
        <v>89594</v>
      </c>
      <c r="Q25" s="186">
        <f t="shared" si="6"/>
        <v>116002</v>
      </c>
      <c r="R25" s="204">
        <v>0</v>
      </c>
      <c r="S25" s="186">
        <v>53279</v>
      </c>
      <c r="T25" s="186">
        <v>62723</v>
      </c>
      <c r="U25" s="186"/>
      <c r="V25" s="186">
        <v>11681</v>
      </c>
      <c r="X25" s="186">
        <f t="shared" si="7"/>
        <v>22750</v>
      </c>
      <c r="Y25" s="204">
        <v>0</v>
      </c>
      <c r="Z25" s="186">
        <v>22750</v>
      </c>
      <c r="AA25" s="206">
        <v>0</v>
      </c>
    </row>
    <row r="26" spans="2:27" s="1" customFormat="1" ht="15.75" customHeight="1" hidden="1">
      <c r="B26" s="186" t="s">
        <v>173</v>
      </c>
      <c r="C26" s="186">
        <f t="shared" si="0"/>
        <v>632566</v>
      </c>
      <c r="D26" s="204">
        <v>0</v>
      </c>
      <c r="E26" s="186">
        <f t="shared" si="1"/>
        <v>290011</v>
      </c>
      <c r="F26" s="40">
        <f t="shared" si="2"/>
        <v>194288</v>
      </c>
      <c r="G26" s="201">
        <f t="shared" si="3"/>
        <v>148267</v>
      </c>
      <c r="H26" s="186">
        <f t="shared" si="4"/>
        <v>303331</v>
      </c>
      <c r="I26" s="204">
        <v>0</v>
      </c>
      <c r="J26" s="186">
        <v>114115</v>
      </c>
      <c r="K26" s="186">
        <v>40949</v>
      </c>
      <c r="L26" s="186">
        <v>148267</v>
      </c>
      <c r="M26" s="186">
        <f t="shared" si="5"/>
        <v>178519</v>
      </c>
      <c r="N26" s="204">
        <v>0</v>
      </c>
      <c r="O26" s="186">
        <v>88368</v>
      </c>
      <c r="P26" s="186">
        <v>90151</v>
      </c>
      <c r="Q26" s="186">
        <f t="shared" si="6"/>
        <v>116377</v>
      </c>
      <c r="R26" s="204">
        <v>0</v>
      </c>
      <c r="S26" s="186">
        <v>53189</v>
      </c>
      <c r="T26" s="186">
        <v>63188</v>
      </c>
      <c r="U26" s="186"/>
      <c r="V26" s="186">
        <v>11629</v>
      </c>
      <c r="X26" s="186">
        <f t="shared" si="7"/>
        <v>22710</v>
      </c>
      <c r="Y26" s="204">
        <v>0</v>
      </c>
      <c r="Z26" s="186">
        <v>22710</v>
      </c>
      <c r="AA26" s="206">
        <v>0</v>
      </c>
    </row>
    <row r="27" spans="2:27" s="1" customFormat="1" ht="15.75" customHeight="1" hidden="1">
      <c r="B27" s="186" t="s">
        <v>175</v>
      </c>
      <c r="C27" s="186">
        <f t="shared" si="0"/>
        <v>631545</v>
      </c>
      <c r="D27" s="204">
        <v>0</v>
      </c>
      <c r="E27" s="186">
        <f t="shared" si="1"/>
        <v>289859</v>
      </c>
      <c r="F27" s="40">
        <f t="shared" si="2"/>
        <v>194407</v>
      </c>
      <c r="G27" s="201">
        <f t="shared" si="3"/>
        <v>147279</v>
      </c>
      <c r="H27" s="186">
        <f t="shared" si="4"/>
        <v>302568</v>
      </c>
      <c r="I27" s="204">
        <v>0</v>
      </c>
      <c r="J27" s="186">
        <v>114120</v>
      </c>
      <c r="K27" s="186">
        <v>41169</v>
      </c>
      <c r="L27" s="186">
        <v>147279</v>
      </c>
      <c r="M27" s="186">
        <f t="shared" si="5"/>
        <v>178439</v>
      </c>
      <c r="N27" s="204">
        <v>0</v>
      </c>
      <c r="O27" s="186">
        <v>88322</v>
      </c>
      <c r="P27" s="186">
        <v>90117</v>
      </c>
      <c r="Q27" s="186">
        <f t="shared" si="6"/>
        <v>116283</v>
      </c>
      <c r="R27" s="204">
        <v>0</v>
      </c>
      <c r="S27" s="186">
        <v>53162</v>
      </c>
      <c r="T27" s="186">
        <v>63121</v>
      </c>
      <c r="U27" s="186"/>
      <c r="V27" s="186">
        <v>11587</v>
      </c>
      <c r="X27" s="186">
        <f t="shared" si="7"/>
        <v>22668</v>
      </c>
      <c r="Y27" s="204">
        <v>0</v>
      </c>
      <c r="Z27" s="186">
        <v>22668</v>
      </c>
      <c r="AA27" s="206">
        <v>0</v>
      </c>
    </row>
    <row r="28" spans="2:27" s="1" customFormat="1" ht="15.75" customHeight="1" hidden="1">
      <c r="B28" s="186" t="s">
        <v>176</v>
      </c>
      <c r="C28" s="186">
        <f t="shared" si="0"/>
        <v>632101</v>
      </c>
      <c r="D28" s="204">
        <v>0</v>
      </c>
      <c r="E28" s="186">
        <f t="shared" si="1"/>
        <v>290994</v>
      </c>
      <c r="F28" s="40">
        <f t="shared" si="2"/>
        <v>194262</v>
      </c>
      <c r="G28" s="201">
        <f t="shared" si="3"/>
        <v>146845</v>
      </c>
      <c r="H28" s="186">
        <f t="shared" si="4"/>
        <v>302512</v>
      </c>
      <c r="I28" s="204">
        <v>0</v>
      </c>
      <c r="J28" s="186">
        <v>114523</v>
      </c>
      <c r="K28" s="186">
        <v>41144</v>
      </c>
      <c r="L28" s="186">
        <v>146845</v>
      </c>
      <c r="M28" s="186">
        <f t="shared" si="5"/>
        <v>178923</v>
      </c>
      <c r="N28" s="204">
        <v>0</v>
      </c>
      <c r="O28" s="186">
        <v>88884</v>
      </c>
      <c r="P28" s="186">
        <v>90039</v>
      </c>
      <c r="Q28" s="186">
        <f t="shared" si="6"/>
        <v>116449</v>
      </c>
      <c r="R28" s="204">
        <v>0</v>
      </c>
      <c r="S28" s="186">
        <v>53370</v>
      </c>
      <c r="T28" s="186">
        <v>63079</v>
      </c>
      <c r="U28" s="186"/>
      <c r="V28" s="186">
        <v>11583</v>
      </c>
      <c r="X28" s="186">
        <f t="shared" si="7"/>
        <v>22634</v>
      </c>
      <c r="Y28" s="204">
        <v>0</v>
      </c>
      <c r="Z28" s="186">
        <v>22634</v>
      </c>
      <c r="AA28" s="206">
        <v>0</v>
      </c>
    </row>
    <row r="29" spans="2:27" s="1" customFormat="1" ht="15.75" customHeight="1" hidden="1">
      <c r="B29" s="186" t="s">
        <v>178</v>
      </c>
      <c r="C29" s="186">
        <f t="shared" si="0"/>
        <v>631690</v>
      </c>
      <c r="D29" s="204">
        <v>0</v>
      </c>
      <c r="E29" s="186">
        <f t="shared" si="1"/>
        <v>291487</v>
      </c>
      <c r="F29" s="40">
        <f t="shared" si="2"/>
        <v>194064</v>
      </c>
      <c r="G29" s="201">
        <f t="shared" si="3"/>
        <v>146139</v>
      </c>
      <c r="H29" s="186">
        <f t="shared" si="4"/>
        <v>301688</v>
      </c>
      <c r="I29" s="204">
        <v>0</v>
      </c>
      <c r="J29" s="186">
        <v>114412</v>
      </c>
      <c r="K29" s="186">
        <v>41137</v>
      </c>
      <c r="L29" s="186">
        <v>146139</v>
      </c>
      <c r="M29" s="186">
        <f t="shared" si="5"/>
        <v>179498</v>
      </c>
      <c r="N29" s="204">
        <v>0</v>
      </c>
      <c r="O29" s="186">
        <v>89497</v>
      </c>
      <c r="P29" s="186">
        <v>90001</v>
      </c>
      <c r="Q29" s="186">
        <f t="shared" si="6"/>
        <v>116180</v>
      </c>
      <c r="R29" s="204">
        <v>0</v>
      </c>
      <c r="S29" s="186">
        <v>53254</v>
      </c>
      <c r="T29" s="186">
        <v>62926</v>
      </c>
      <c r="U29" s="186"/>
      <c r="V29" s="186">
        <v>11464</v>
      </c>
      <c r="X29" s="186">
        <f t="shared" si="7"/>
        <v>22860</v>
      </c>
      <c r="Y29" s="204">
        <v>0</v>
      </c>
      <c r="Z29" s="186">
        <v>22860</v>
      </c>
      <c r="AA29" s="206">
        <v>0</v>
      </c>
    </row>
    <row r="30" spans="2:27" s="1" customFormat="1" ht="15.75" customHeight="1">
      <c r="B30" s="268" t="s">
        <v>180</v>
      </c>
      <c r="C30" s="203">
        <f>C42</f>
        <v>627163</v>
      </c>
      <c r="D30" s="204">
        <v>0</v>
      </c>
      <c r="E30" s="203">
        <f aca="true" t="shared" si="8" ref="E30:Z30">E42</f>
        <v>292326</v>
      </c>
      <c r="F30" s="203">
        <f t="shared" si="8"/>
        <v>193083</v>
      </c>
      <c r="G30" s="203">
        <f t="shared" si="8"/>
        <v>141754</v>
      </c>
      <c r="H30" s="203">
        <f t="shared" si="8"/>
        <v>297118</v>
      </c>
      <c r="I30" s="204">
        <v>0</v>
      </c>
      <c r="J30" s="203">
        <f t="shared" si="8"/>
        <v>115000</v>
      </c>
      <c r="K30" s="203">
        <f t="shared" si="8"/>
        <v>40364</v>
      </c>
      <c r="L30" s="203">
        <f t="shared" si="8"/>
        <v>141754</v>
      </c>
      <c r="M30" s="203">
        <f t="shared" si="8"/>
        <v>180258</v>
      </c>
      <c r="N30" s="204">
        <v>0</v>
      </c>
      <c r="O30" s="203">
        <f t="shared" si="8"/>
        <v>90213</v>
      </c>
      <c r="P30" s="203">
        <f t="shared" si="8"/>
        <v>90045</v>
      </c>
      <c r="Q30" s="203">
        <f t="shared" si="8"/>
        <v>116228</v>
      </c>
      <c r="R30" s="204">
        <v>0</v>
      </c>
      <c r="S30" s="203">
        <f t="shared" si="8"/>
        <v>53554</v>
      </c>
      <c r="T30" s="203">
        <f t="shared" si="8"/>
        <v>62674</v>
      </c>
      <c r="U30" s="203"/>
      <c r="V30" s="203">
        <f>V42</f>
        <v>11426</v>
      </c>
      <c r="X30" s="203">
        <f t="shared" si="8"/>
        <v>22133</v>
      </c>
      <c r="Y30" s="204">
        <v>0</v>
      </c>
      <c r="Z30" s="203">
        <f t="shared" si="8"/>
        <v>22133</v>
      </c>
      <c r="AA30" s="206">
        <v>0</v>
      </c>
    </row>
    <row r="31" spans="2:27" s="1" customFormat="1" ht="15.75" customHeight="1" hidden="1">
      <c r="B31" s="186" t="s">
        <v>179</v>
      </c>
      <c r="C31" s="186">
        <f t="shared" si="0"/>
        <v>630524</v>
      </c>
      <c r="D31" s="204">
        <v>0</v>
      </c>
      <c r="E31" s="186">
        <f aca="true" t="shared" si="9" ref="E31:E42">J31+O31+S31+V31+Z31</f>
        <v>291807</v>
      </c>
      <c r="F31" s="40">
        <f aca="true" t="shared" si="10" ref="F31:F42">K31+P31+T31+AA31</f>
        <v>193766</v>
      </c>
      <c r="G31" s="201">
        <f t="shared" si="3"/>
        <v>144951</v>
      </c>
      <c r="H31" s="186">
        <f t="shared" si="4"/>
        <v>300897</v>
      </c>
      <c r="I31" s="204">
        <v>0</v>
      </c>
      <c r="J31" s="186">
        <v>114878</v>
      </c>
      <c r="K31" s="186">
        <v>41068</v>
      </c>
      <c r="L31" s="186">
        <v>144951</v>
      </c>
      <c r="M31" s="186">
        <f t="shared" si="5"/>
        <v>179214</v>
      </c>
      <c r="N31" s="204">
        <v>0</v>
      </c>
      <c r="O31" s="186">
        <v>89404</v>
      </c>
      <c r="P31" s="186">
        <v>89810</v>
      </c>
      <c r="Q31" s="186">
        <f t="shared" si="6"/>
        <v>116087</v>
      </c>
      <c r="R31" s="204">
        <v>0</v>
      </c>
      <c r="S31" s="186">
        <v>53199</v>
      </c>
      <c r="T31" s="186">
        <v>62888</v>
      </c>
      <c r="U31" s="186"/>
      <c r="V31" s="186">
        <v>11439</v>
      </c>
      <c r="X31" s="186">
        <f t="shared" si="7"/>
        <v>22887</v>
      </c>
      <c r="Y31" s="204">
        <v>0</v>
      </c>
      <c r="Z31" s="186">
        <v>22887</v>
      </c>
      <c r="AA31" s="206">
        <v>0</v>
      </c>
    </row>
    <row r="32" spans="2:27" s="1" customFormat="1" ht="15.75" customHeight="1" hidden="1">
      <c r="B32" s="186" t="s">
        <v>183</v>
      </c>
      <c r="C32" s="186">
        <f t="shared" si="0"/>
        <v>628902</v>
      </c>
      <c r="D32" s="204">
        <v>0</v>
      </c>
      <c r="E32" s="186">
        <f t="shared" si="9"/>
        <v>292367</v>
      </c>
      <c r="F32" s="40">
        <f t="shared" si="10"/>
        <v>192741</v>
      </c>
      <c r="G32" s="201">
        <f t="shared" si="3"/>
        <v>143794</v>
      </c>
      <c r="H32" s="186">
        <f t="shared" si="4"/>
        <v>299874</v>
      </c>
      <c r="I32" s="204">
        <v>0</v>
      </c>
      <c r="J32" s="186">
        <v>115270</v>
      </c>
      <c r="K32" s="186">
        <v>40810</v>
      </c>
      <c r="L32" s="186">
        <v>143794</v>
      </c>
      <c r="M32" s="186">
        <f t="shared" si="5"/>
        <v>178812</v>
      </c>
      <c r="N32" s="187">
        <v>0</v>
      </c>
      <c r="O32" s="186">
        <v>89528</v>
      </c>
      <c r="P32" s="186">
        <v>89284</v>
      </c>
      <c r="Q32" s="186">
        <f t="shared" si="6"/>
        <v>115893</v>
      </c>
      <c r="R32" s="187">
        <v>0</v>
      </c>
      <c r="S32" s="186">
        <v>53246</v>
      </c>
      <c r="T32" s="186">
        <v>62647</v>
      </c>
      <c r="U32" s="186"/>
      <c r="V32" s="186">
        <v>11443</v>
      </c>
      <c r="X32" s="186">
        <f t="shared" si="7"/>
        <v>22880</v>
      </c>
      <c r="Y32" s="187">
        <v>0</v>
      </c>
      <c r="Z32" s="186">
        <v>22880</v>
      </c>
      <c r="AA32" s="188">
        <v>0</v>
      </c>
    </row>
    <row r="33" spans="2:27" s="1" customFormat="1" ht="15.75" customHeight="1" hidden="1">
      <c r="B33" s="186" t="s">
        <v>186</v>
      </c>
      <c r="C33" s="186">
        <f t="shared" si="0"/>
        <v>626438</v>
      </c>
      <c r="D33" s="187">
        <f aca="true" t="shared" si="11" ref="D33:D40">I33+N33+R33+Y33</f>
        <v>0</v>
      </c>
      <c r="E33" s="186">
        <f t="shared" si="9"/>
        <v>290718</v>
      </c>
      <c r="F33" s="40">
        <f t="shared" si="10"/>
        <v>192713</v>
      </c>
      <c r="G33" s="201">
        <f t="shared" si="3"/>
        <v>143007</v>
      </c>
      <c r="H33" s="186">
        <f t="shared" si="4"/>
        <v>298824</v>
      </c>
      <c r="I33" s="187">
        <v>0</v>
      </c>
      <c r="J33" s="186">
        <v>114917</v>
      </c>
      <c r="K33" s="186">
        <v>40900</v>
      </c>
      <c r="L33" s="186">
        <v>143007</v>
      </c>
      <c r="M33" s="186">
        <f t="shared" si="5"/>
        <v>178205</v>
      </c>
      <c r="N33" s="187">
        <v>0</v>
      </c>
      <c r="O33" s="186">
        <v>88982</v>
      </c>
      <c r="P33" s="186">
        <v>89223</v>
      </c>
      <c r="Q33" s="186">
        <f t="shared" si="6"/>
        <v>115714</v>
      </c>
      <c r="R33" s="187">
        <v>0</v>
      </c>
      <c r="S33" s="186">
        <v>53124</v>
      </c>
      <c r="T33" s="186">
        <v>62590</v>
      </c>
      <c r="U33" s="186"/>
      <c r="V33" s="186">
        <v>11386</v>
      </c>
      <c r="X33" s="186">
        <f t="shared" si="7"/>
        <v>22309</v>
      </c>
      <c r="Y33" s="187">
        <v>0</v>
      </c>
      <c r="Z33" s="186">
        <v>22309</v>
      </c>
      <c r="AA33" s="188">
        <v>0</v>
      </c>
    </row>
    <row r="34" spans="2:27" s="1" customFormat="1" ht="15.75" customHeight="1" hidden="1">
      <c r="B34" s="186" t="s">
        <v>187</v>
      </c>
      <c r="C34" s="186">
        <f t="shared" si="0"/>
        <v>626643</v>
      </c>
      <c r="D34" s="187">
        <f t="shared" si="11"/>
        <v>0</v>
      </c>
      <c r="E34" s="186">
        <f t="shared" si="9"/>
        <v>290687</v>
      </c>
      <c r="F34" s="40">
        <f t="shared" si="10"/>
        <v>192617</v>
      </c>
      <c r="G34" s="201">
        <f t="shared" si="3"/>
        <v>143339</v>
      </c>
      <c r="H34" s="186">
        <f t="shared" si="4"/>
        <v>298967</v>
      </c>
      <c r="I34" s="187">
        <v>0</v>
      </c>
      <c r="J34" s="186">
        <v>114737</v>
      </c>
      <c r="K34" s="186">
        <v>40891</v>
      </c>
      <c r="L34" s="186">
        <v>143339</v>
      </c>
      <c r="M34" s="186">
        <f t="shared" si="5"/>
        <v>178256</v>
      </c>
      <c r="N34" s="187">
        <v>0</v>
      </c>
      <c r="O34" s="186">
        <v>89086</v>
      </c>
      <c r="P34" s="186">
        <v>89170</v>
      </c>
      <c r="Q34" s="186">
        <f t="shared" si="6"/>
        <v>115679</v>
      </c>
      <c r="R34" s="187">
        <v>0</v>
      </c>
      <c r="S34" s="186">
        <v>53123</v>
      </c>
      <c r="T34" s="186">
        <v>62556</v>
      </c>
      <c r="U34" s="186"/>
      <c r="V34" s="186">
        <v>11469</v>
      </c>
      <c r="X34" s="186">
        <f t="shared" si="7"/>
        <v>22272</v>
      </c>
      <c r="Y34" s="187">
        <v>0</v>
      </c>
      <c r="Z34" s="186">
        <v>22272</v>
      </c>
      <c r="AA34" s="188">
        <v>0</v>
      </c>
    </row>
    <row r="35" spans="2:27" s="1" customFormat="1" ht="15.75" customHeight="1" hidden="1">
      <c r="B35" s="186" t="s">
        <v>188</v>
      </c>
      <c r="C35" s="186">
        <f t="shared" si="0"/>
        <v>627713</v>
      </c>
      <c r="D35" s="187">
        <f t="shared" si="11"/>
        <v>0</v>
      </c>
      <c r="E35" s="186">
        <f t="shared" si="9"/>
        <v>291790</v>
      </c>
      <c r="F35" s="40">
        <f t="shared" si="10"/>
        <v>192582</v>
      </c>
      <c r="G35" s="201">
        <f t="shared" si="3"/>
        <v>143341</v>
      </c>
      <c r="H35" s="186">
        <f t="shared" si="4"/>
        <v>298854</v>
      </c>
      <c r="I35" s="187">
        <v>0</v>
      </c>
      <c r="J35" s="186">
        <v>114638</v>
      </c>
      <c r="K35" s="186">
        <v>40875</v>
      </c>
      <c r="L35" s="186">
        <v>143341</v>
      </c>
      <c r="M35" s="186">
        <f t="shared" si="5"/>
        <v>178892</v>
      </c>
      <c r="N35" s="187">
        <v>0</v>
      </c>
      <c r="O35" s="186">
        <v>89732</v>
      </c>
      <c r="P35" s="186">
        <v>89160</v>
      </c>
      <c r="Q35" s="186">
        <f t="shared" si="6"/>
        <v>116149</v>
      </c>
      <c r="R35" s="187">
        <v>0</v>
      </c>
      <c r="S35" s="186">
        <v>53602</v>
      </c>
      <c r="T35" s="186">
        <v>62547</v>
      </c>
      <c r="U35" s="186"/>
      <c r="V35" s="186">
        <v>11703</v>
      </c>
      <c r="X35" s="186">
        <f t="shared" si="7"/>
        <v>22115</v>
      </c>
      <c r="Y35" s="187">
        <v>0</v>
      </c>
      <c r="Z35" s="186">
        <v>22115</v>
      </c>
      <c r="AA35" s="188">
        <v>0</v>
      </c>
    </row>
    <row r="36" spans="2:27" s="1" customFormat="1" ht="15.75" customHeight="1" hidden="1">
      <c r="B36" s="186" t="s">
        <v>189</v>
      </c>
      <c r="C36" s="186">
        <f aca="true" t="shared" si="12" ref="C36:C41">SUM(D36:G36)</f>
        <v>626525</v>
      </c>
      <c r="D36" s="187">
        <f t="shared" si="11"/>
        <v>0</v>
      </c>
      <c r="E36" s="186">
        <f t="shared" si="9"/>
        <v>290516</v>
      </c>
      <c r="F36" s="40">
        <f t="shared" si="10"/>
        <v>192763</v>
      </c>
      <c r="G36" s="201">
        <f t="shared" si="3"/>
        <v>143246</v>
      </c>
      <c r="H36" s="186">
        <f aca="true" t="shared" si="13" ref="H36:H42">SUM(I36:L36)</f>
        <v>298243</v>
      </c>
      <c r="I36" s="187">
        <v>0</v>
      </c>
      <c r="J36" s="186">
        <v>114122</v>
      </c>
      <c r="K36" s="186">
        <v>40875</v>
      </c>
      <c r="L36" s="186">
        <v>143246</v>
      </c>
      <c r="M36" s="186">
        <f aca="true" t="shared" si="14" ref="M36:M42">SUM(N36:P36)</f>
        <v>178582</v>
      </c>
      <c r="N36" s="187">
        <v>0</v>
      </c>
      <c r="O36" s="186">
        <v>89280</v>
      </c>
      <c r="P36" s="186">
        <v>89302</v>
      </c>
      <c r="Q36" s="186">
        <f aca="true" t="shared" si="15" ref="Q36:Q41">SUM(R36:T36)</f>
        <v>116025</v>
      </c>
      <c r="R36" s="187">
        <v>0</v>
      </c>
      <c r="S36" s="186">
        <v>53439</v>
      </c>
      <c r="T36" s="186">
        <v>62586</v>
      </c>
      <c r="U36" s="186"/>
      <c r="V36" s="186">
        <v>11652</v>
      </c>
      <c r="X36" s="186">
        <f t="shared" si="7"/>
        <v>22023</v>
      </c>
      <c r="Y36" s="187">
        <v>0</v>
      </c>
      <c r="Z36" s="186">
        <v>22023</v>
      </c>
      <c r="AA36" s="188">
        <v>0</v>
      </c>
    </row>
    <row r="37" spans="2:27" s="1" customFormat="1" ht="15.75" customHeight="1" hidden="1">
      <c r="B37" s="186" t="s">
        <v>192</v>
      </c>
      <c r="C37" s="186">
        <f t="shared" si="12"/>
        <v>626527</v>
      </c>
      <c r="D37" s="187">
        <f t="shared" si="11"/>
        <v>0</v>
      </c>
      <c r="E37" s="186">
        <f t="shared" si="9"/>
        <v>289673</v>
      </c>
      <c r="F37" s="40">
        <f t="shared" si="10"/>
        <v>192402</v>
      </c>
      <c r="G37" s="201">
        <f aca="true" t="shared" si="16" ref="G37:G42">L37</f>
        <v>144452</v>
      </c>
      <c r="H37" s="186">
        <f t="shared" si="13"/>
        <v>299078</v>
      </c>
      <c r="I37" s="187">
        <v>0</v>
      </c>
      <c r="J37" s="186">
        <v>113864</v>
      </c>
      <c r="K37" s="186">
        <v>40762</v>
      </c>
      <c r="L37" s="186">
        <v>144452</v>
      </c>
      <c r="M37" s="186">
        <f t="shared" si="14"/>
        <v>178150</v>
      </c>
      <c r="N37" s="187">
        <v>0</v>
      </c>
      <c r="O37" s="186">
        <v>89035</v>
      </c>
      <c r="P37" s="186">
        <v>89115</v>
      </c>
      <c r="Q37" s="186">
        <f t="shared" si="15"/>
        <v>115779</v>
      </c>
      <c r="R37" s="187">
        <v>0</v>
      </c>
      <c r="S37" s="186">
        <v>53254</v>
      </c>
      <c r="T37" s="186">
        <v>62525</v>
      </c>
      <c r="U37" s="186"/>
      <c r="V37" s="186">
        <v>11592</v>
      </c>
      <c r="X37" s="186">
        <f aca="true" t="shared" si="17" ref="X37:X42">SUM(Y37:AA37)</f>
        <v>21928</v>
      </c>
      <c r="Y37" s="187">
        <v>0</v>
      </c>
      <c r="Z37" s="186">
        <v>21928</v>
      </c>
      <c r="AA37" s="294">
        <v>0</v>
      </c>
    </row>
    <row r="38" spans="2:27" s="1" customFormat="1" ht="15.75" customHeight="1" hidden="1">
      <c r="B38" s="186" t="s">
        <v>196</v>
      </c>
      <c r="C38" s="186">
        <f t="shared" si="12"/>
        <v>623912</v>
      </c>
      <c r="D38" s="187">
        <f t="shared" si="11"/>
        <v>0</v>
      </c>
      <c r="E38" s="186">
        <f t="shared" si="9"/>
        <v>289294</v>
      </c>
      <c r="F38" s="40">
        <f t="shared" si="10"/>
        <v>190781</v>
      </c>
      <c r="G38" s="201">
        <f t="shared" si="16"/>
        <v>143837</v>
      </c>
      <c r="H38" s="186">
        <f t="shared" si="13"/>
        <v>297946</v>
      </c>
      <c r="I38" s="187">
        <v>0</v>
      </c>
      <c r="J38" s="186">
        <v>113703</v>
      </c>
      <c r="K38" s="186">
        <v>40406</v>
      </c>
      <c r="L38" s="186">
        <v>143837</v>
      </c>
      <c r="M38" s="186">
        <f t="shared" si="14"/>
        <v>177348</v>
      </c>
      <c r="N38" s="187">
        <v>0</v>
      </c>
      <c r="O38" s="186">
        <v>88950</v>
      </c>
      <c r="P38" s="186">
        <v>88398</v>
      </c>
      <c r="Q38" s="186">
        <f t="shared" si="15"/>
        <v>115209</v>
      </c>
      <c r="R38" s="187">
        <v>0</v>
      </c>
      <c r="S38" s="186">
        <v>53232</v>
      </c>
      <c r="T38" s="186">
        <v>61977</v>
      </c>
      <c r="U38" s="186"/>
      <c r="V38" s="186">
        <v>11561</v>
      </c>
      <c r="X38" s="186">
        <f t="shared" si="17"/>
        <v>21848</v>
      </c>
      <c r="Y38" s="187">
        <v>0</v>
      </c>
      <c r="Z38" s="186">
        <v>21848</v>
      </c>
      <c r="AA38" s="294">
        <v>0</v>
      </c>
    </row>
    <row r="39" spans="1:27" s="315" customFormat="1" ht="15.75" customHeight="1" hidden="1">
      <c r="A39" s="166"/>
      <c r="B39" s="186" t="s">
        <v>198</v>
      </c>
      <c r="C39" s="186">
        <f t="shared" si="12"/>
        <v>625761</v>
      </c>
      <c r="D39" s="187">
        <f t="shared" si="11"/>
        <v>0</v>
      </c>
      <c r="E39" s="186">
        <f t="shared" si="9"/>
        <v>289111</v>
      </c>
      <c r="F39" s="40">
        <f t="shared" si="10"/>
        <v>193082</v>
      </c>
      <c r="G39" s="201">
        <f t="shared" si="16"/>
        <v>143568</v>
      </c>
      <c r="H39" s="186">
        <f t="shared" si="13"/>
        <v>298354</v>
      </c>
      <c r="I39" s="187">
        <v>0</v>
      </c>
      <c r="J39" s="186">
        <v>113786</v>
      </c>
      <c r="K39" s="186">
        <v>41000</v>
      </c>
      <c r="L39" s="186">
        <v>143568</v>
      </c>
      <c r="M39" s="186">
        <f t="shared" si="14"/>
        <v>178322</v>
      </c>
      <c r="N39" s="187">
        <v>0</v>
      </c>
      <c r="O39" s="186">
        <v>88840</v>
      </c>
      <c r="P39" s="186">
        <v>89482</v>
      </c>
      <c r="Q39" s="186">
        <f t="shared" si="15"/>
        <v>115783</v>
      </c>
      <c r="R39" s="187">
        <v>0</v>
      </c>
      <c r="S39" s="186">
        <v>53183</v>
      </c>
      <c r="T39" s="186">
        <v>62600</v>
      </c>
      <c r="U39" s="186"/>
      <c r="V39" s="186">
        <v>11515</v>
      </c>
      <c r="X39" s="186">
        <f t="shared" si="17"/>
        <v>21787</v>
      </c>
      <c r="Y39" s="187">
        <v>0</v>
      </c>
      <c r="Z39" s="186">
        <v>21787</v>
      </c>
      <c r="AA39" s="294">
        <v>0</v>
      </c>
    </row>
    <row r="40" spans="1:27" s="315" customFormat="1" ht="15.75" customHeight="1" hidden="1">
      <c r="A40" s="166"/>
      <c r="B40" s="186" t="s">
        <v>201</v>
      </c>
      <c r="C40" s="186">
        <f t="shared" si="12"/>
        <v>624751</v>
      </c>
      <c r="D40" s="187">
        <f t="shared" si="11"/>
        <v>0</v>
      </c>
      <c r="E40" s="186">
        <f t="shared" si="9"/>
        <v>289242</v>
      </c>
      <c r="F40" s="40">
        <f t="shared" si="10"/>
        <v>193272</v>
      </c>
      <c r="G40" s="201">
        <f t="shared" si="16"/>
        <v>142237</v>
      </c>
      <c r="H40" s="186">
        <f t="shared" si="13"/>
        <v>297246</v>
      </c>
      <c r="I40" s="187">
        <v>0</v>
      </c>
      <c r="J40" s="186">
        <v>113952</v>
      </c>
      <c r="K40" s="186">
        <v>41057</v>
      </c>
      <c r="L40" s="186">
        <v>142237</v>
      </c>
      <c r="M40" s="186">
        <f t="shared" si="14"/>
        <v>178426</v>
      </c>
      <c r="N40" s="187">
        <v>0</v>
      </c>
      <c r="O40" s="186">
        <v>88916</v>
      </c>
      <c r="P40" s="186">
        <v>89510</v>
      </c>
      <c r="Q40" s="186">
        <f t="shared" si="15"/>
        <v>115850</v>
      </c>
      <c r="R40" s="187">
        <v>0</v>
      </c>
      <c r="S40" s="186">
        <v>53145</v>
      </c>
      <c r="T40" s="186">
        <v>62705</v>
      </c>
      <c r="U40" s="186"/>
      <c r="V40" s="186">
        <v>11492</v>
      </c>
      <c r="X40" s="186">
        <f t="shared" si="17"/>
        <v>21737</v>
      </c>
      <c r="Y40" s="187">
        <v>0</v>
      </c>
      <c r="Z40" s="186">
        <v>21737</v>
      </c>
      <c r="AA40" s="294">
        <v>0</v>
      </c>
    </row>
    <row r="41" spans="1:27" s="315" customFormat="1" ht="15.75" customHeight="1" hidden="1">
      <c r="A41" s="166"/>
      <c r="B41" s="186" t="s">
        <v>203</v>
      </c>
      <c r="C41" s="186">
        <f t="shared" si="12"/>
        <v>626375</v>
      </c>
      <c r="D41" s="187">
        <f>I41+N41+R42+Y41</f>
        <v>0</v>
      </c>
      <c r="E41" s="186">
        <f t="shared" si="9"/>
        <v>291415</v>
      </c>
      <c r="F41" s="40">
        <f t="shared" si="10"/>
        <v>193123</v>
      </c>
      <c r="G41" s="201">
        <f t="shared" si="16"/>
        <v>141837</v>
      </c>
      <c r="H41" s="186">
        <f t="shared" si="13"/>
        <v>297653</v>
      </c>
      <c r="I41" s="187">
        <v>0</v>
      </c>
      <c r="J41" s="186">
        <v>114779</v>
      </c>
      <c r="K41" s="186">
        <v>41037</v>
      </c>
      <c r="L41" s="186">
        <v>141837</v>
      </c>
      <c r="M41" s="186">
        <f t="shared" si="14"/>
        <v>179175</v>
      </c>
      <c r="N41" s="187">
        <v>0</v>
      </c>
      <c r="O41" s="186">
        <v>89767</v>
      </c>
      <c r="P41" s="186">
        <v>89408</v>
      </c>
      <c r="Q41" s="186">
        <f t="shared" si="15"/>
        <v>116108</v>
      </c>
      <c r="R41" s="187">
        <v>0</v>
      </c>
      <c r="S41" s="186">
        <v>53430</v>
      </c>
      <c r="T41" s="186">
        <v>62678</v>
      </c>
      <c r="U41" s="186"/>
      <c r="V41" s="186">
        <v>11471</v>
      </c>
      <c r="X41" s="186">
        <f t="shared" si="17"/>
        <v>21968</v>
      </c>
      <c r="Y41" s="187">
        <v>0</v>
      </c>
      <c r="Z41" s="186">
        <v>21968</v>
      </c>
      <c r="AA41" s="294">
        <v>0</v>
      </c>
    </row>
    <row r="42" spans="1:27" s="315" customFormat="1" ht="15.75" customHeight="1" hidden="1">
      <c r="A42" s="166"/>
      <c r="B42" s="186" t="s">
        <v>204</v>
      </c>
      <c r="C42" s="186">
        <f>SUM(D42:G42)</f>
        <v>627163</v>
      </c>
      <c r="D42" s="187">
        <f>I42+N42+R42+Y42</f>
        <v>0</v>
      </c>
      <c r="E42" s="186">
        <f t="shared" si="9"/>
        <v>292326</v>
      </c>
      <c r="F42" s="40">
        <f t="shared" si="10"/>
        <v>193083</v>
      </c>
      <c r="G42" s="201">
        <f t="shared" si="16"/>
        <v>141754</v>
      </c>
      <c r="H42" s="186">
        <f t="shared" si="13"/>
        <v>297118</v>
      </c>
      <c r="I42" s="187">
        <v>0</v>
      </c>
      <c r="J42" s="186">
        <v>115000</v>
      </c>
      <c r="K42" s="40">
        <v>40364</v>
      </c>
      <c r="L42" s="201">
        <v>141754</v>
      </c>
      <c r="M42" s="186">
        <f t="shared" si="14"/>
        <v>180258</v>
      </c>
      <c r="N42" s="187">
        <v>0</v>
      </c>
      <c r="O42" s="186">
        <v>90213</v>
      </c>
      <c r="P42" s="186">
        <v>90045</v>
      </c>
      <c r="Q42" s="186">
        <f>SUM(R42:T42)</f>
        <v>116228</v>
      </c>
      <c r="R42" s="187">
        <v>0</v>
      </c>
      <c r="S42" s="186">
        <v>53554</v>
      </c>
      <c r="T42" s="186">
        <v>62674</v>
      </c>
      <c r="U42" s="186"/>
      <c r="V42" s="186">
        <v>11426</v>
      </c>
      <c r="X42" s="186">
        <f t="shared" si="17"/>
        <v>22133</v>
      </c>
      <c r="Y42" s="187">
        <v>0</v>
      </c>
      <c r="Z42" s="186">
        <v>22133</v>
      </c>
      <c r="AA42" s="294">
        <v>0</v>
      </c>
    </row>
    <row r="43" spans="1:29" s="315" customFormat="1" ht="15.75" customHeight="1">
      <c r="A43" s="166"/>
      <c r="B43" s="268" t="s">
        <v>206</v>
      </c>
      <c r="C43" s="203">
        <f>C55</f>
        <v>622197</v>
      </c>
      <c r="D43" s="204">
        <f aca="true" t="shared" si="18" ref="D43:AA43">D55</f>
        <v>0</v>
      </c>
      <c r="E43" s="203">
        <f t="shared" si="18"/>
        <v>293535</v>
      </c>
      <c r="F43" s="203">
        <f t="shared" si="18"/>
        <v>192275</v>
      </c>
      <c r="G43" s="203">
        <f t="shared" si="18"/>
        <v>136387</v>
      </c>
      <c r="H43" s="203">
        <f t="shared" si="18"/>
        <v>290899</v>
      </c>
      <c r="I43" s="204">
        <f t="shared" si="18"/>
        <v>0</v>
      </c>
      <c r="J43" s="203">
        <f t="shared" si="18"/>
        <v>115110</v>
      </c>
      <c r="K43" s="203">
        <f t="shared" si="18"/>
        <v>39402</v>
      </c>
      <c r="L43" s="203">
        <f t="shared" si="18"/>
        <v>136387</v>
      </c>
      <c r="M43" s="203">
        <f t="shared" si="18"/>
        <v>181474</v>
      </c>
      <c r="N43" s="204">
        <f t="shared" si="18"/>
        <v>0</v>
      </c>
      <c r="O43" s="203">
        <f t="shared" si="18"/>
        <v>91183</v>
      </c>
      <c r="P43" s="203">
        <f t="shared" si="18"/>
        <v>90291</v>
      </c>
      <c r="Q43" s="203">
        <f t="shared" si="18"/>
        <v>116537</v>
      </c>
      <c r="R43" s="204">
        <f t="shared" si="18"/>
        <v>0</v>
      </c>
      <c r="S43" s="203">
        <f t="shared" si="18"/>
        <v>53955</v>
      </c>
      <c r="T43" s="203">
        <f t="shared" si="18"/>
        <v>62582</v>
      </c>
      <c r="U43" s="203"/>
      <c r="V43" s="203">
        <f>V55</f>
        <v>11357</v>
      </c>
      <c r="X43" s="203">
        <f t="shared" si="18"/>
        <v>21930</v>
      </c>
      <c r="Y43" s="204">
        <f t="shared" si="18"/>
        <v>0</v>
      </c>
      <c r="Z43" s="203">
        <f t="shared" si="18"/>
        <v>21930</v>
      </c>
      <c r="AA43" s="204">
        <f t="shared" si="18"/>
        <v>0</v>
      </c>
      <c r="AB43" s="386"/>
      <c r="AC43" s="387"/>
    </row>
    <row r="44" spans="1:27" s="315" customFormat="1" ht="15.75" customHeight="1" hidden="1">
      <c r="A44" s="166"/>
      <c r="B44" s="186" t="s">
        <v>205</v>
      </c>
      <c r="C44" s="186">
        <f aca="true" t="shared" si="19" ref="C44:C55">SUM(D44:G44)</f>
        <v>625445</v>
      </c>
      <c r="D44" s="187">
        <f aca="true" t="shared" si="20" ref="D44:D55">I44+N44+R44+Y44</f>
        <v>0</v>
      </c>
      <c r="E44" s="186">
        <f aca="true" t="shared" si="21" ref="E44:E55">J44+O44+S44+V44+Z44</f>
        <v>292838</v>
      </c>
      <c r="F44" s="40">
        <f aca="true" t="shared" si="22" ref="F44:F55">K44+P44+T44+AA44</f>
        <v>192621</v>
      </c>
      <c r="G44" s="201">
        <f aca="true" t="shared" si="23" ref="G44:G49">L44</f>
        <v>139986</v>
      </c>
      <c r="H44" s="186">
        <f aca="true" t="shared" si="24" ref="H44:H51">SUM(I44:L44)</f>
        <v>294647</v>
      </c>
      <c r="I44" s="187">
        <v>0</v>
      </c>
      <c r="J44" s="186">
        <v>115100</v>
      </c>
      <c r="K44" s="40">
        <v>39561</v>
      </c>
      <c r="L44" s="201">
        <v>139986</v>
      </c>
      <c r="M44" s="186">
        <f aca="true" t="shared" si="25" ref="M44:M51">SUM(N44:P44)</f>
        <v>181125</v>
      </c>
      <c r="N44" s="187">
        <v>0</v>
      </c>
      <c r="O44" s="186">
        <v>90591</v>
      </c>
      <c r="P44" s="186">
        <v>90534</v>
      </c>
      <c r="Q44" s="186">
        <f aca="true" t="shared" si="26" ref="Q44:Q53">SUM(R44:T44)</f>
        <v>116042</v>
      </c>
      <c r="R44" s="187">
        <v>0</v>
      </c>
      <c r="S44" s="186">
        <v>53516</v>
      </c>
      <c r="T44" s="186">
        <v>62526</v>
      </c>
      <c r="U44" s="186"/>
      <c r="V44" s="186">
        <v>11445</v>
      </c>
      <c r="X44" s="186">
        <f aca="true" t="shared" si="27" ref="X44:X53">SUM(Y44:AA44)</f>
        <v>22186</v>
      </c>
      <c r="Y44" s="187">
        <v>0</v>
      </c>
      <c r="Z44" s="186">
        <v>22186</v>
      </c>
      <c r="AA44" s="294">
        <v>0</v>
      </c>
    </row>
    <row r="45" spans="1:27" s="315" customFormat="1" ht="15.75" customHeight="1" hidden="1">
      <c r="A45" s="166"/>
      <c r="B45" s="186" t="s">
        <v>208</v>
      </c>
      <c r="C45" s="186">
        <f t="shared" si="19"/>
        <v>622908</v>
      </c>
      <c r="D45" s="187">
        <f t="shared" si="20"/>
        <v>0</v>
      </c>
      <c r="E45" s="186">
        <f t="shared" si="21"/>
        <v>292028</v>
      </c>
      <c r="F45" s="40">
        <f t="shared" si="22"/>
        <v>191767</v>
      </c>
      <c r="G45" s="201">
        <f t="shared" si="23"/>
        <v>139113</v>
      </c>
      <c r="H45" s="186">
        <f t="shared" si="24"/>
        <v>293371</v>
      </c>
      <c r="I45" s="187">
        <v>0</v>
      </c>
      <c r="J45" s="186">
        <v>114960</v>
      </c>
      <c r="K45" s="40">
        <v>39298</v>
      </c>
      <c r="L45" s="201">
        <v>139113</v>
      </c>
      <c r="M45" s="186">
        <f t="shared" si="25"/>
        <v>180349</v>
      </c>
      <c r="N45" s="187">
        <v>0</v>
      </c>
      <c r="O45" s="186">
        <v>90213</v>
      </c>
      <c r="P45" s="186">
        <v>90136</v>
      </c>
      <c r="Q45" s="186">
        <f t="shared" si="26"/>
        <v>115703</v>
      </c>
      <c r="R45" s="187">
        <v>0</v>
      </c>
      <c r="S45" s="186">
        <v>53370</v>
      </c>
      <c r="T45" s="186">
        <v>62333</v>
      </c>
      <c r="U45" s="186"/>
      <c r="V45" s="186">
        <v>11414</v>
      </c>
      <c r="X45" s="186">
        <f t="shared" si="27"/>
        <v>22071</v>
      </c>
      <c r="Y45" s="187">
        <v>0</v>
      </c>
      <c r="Z45" s="186">
        <v>22071</v>
      </c>
      <c r="AA45" s="294">
        <v>0</v>
      </c>
    </row>
    <row r="46" spans="1:27" s="315" customFormat="1" ht="15.75" customHeight="1" hidden="1">
      <c r="A46" s="166"/>
      <c r="B46" s="186" t="s">
        <v>209</v>
      </c>
      <c r="C46" s="186">
        <f t="shared" si="19"/>
        <v>621581</v>
      </c>
      <c r="D46" s="187">
        <f t="shared" si="20"/>
        <v>0</v>
      </c>
      <c r="E46" s="186">
        <f t="shared" si="21"/>
        <v>291262</v>
      </c>
      <c r="F46" s="40">
        <f t="shared" si="22"/>
        <v>191739</v>
      </c>
      <c r="G46" s="201">
        <f t="shared" si="23"/>
        <v>138580</v>
      </c>
      <c r="H46" s="186">
        <f t="shared" si="24"/>
        <v>292594</v>
      </c>
      <c r="I46" s="187">
        <v>0</v>
      </c>
      <c r="J46" s="186">
        <v>114638</v>
      </c>
      <c r="K46" s="40">
        <v>39376</v>
      </c>
      <c r="L46" s="201">
        <v>138580</v>
      </c>
      <c r="M46" s="186">
        <f t="shared" si="25"/>
        <v>179974</v>
      </c>
      <c r="N46" s="187">
        <v>0</v>
      </c>
      <c r="O46" s="186">
        <v>89900</v>
      </c>
      <c r="P46" s="186">
        <v>90074</v>
      </c>
      <c r="Q46" s="186">
        <f t="shared" si="26"/>
        <v>115625</v>
      </c>
      <c r="R46" s="187">
        <v>0</v>
      </c>
      <c r="S46" s="186">
        <v>53336</v>
      </c>
      <c r="T46" s="186">
        <v>62289</v>
      </c>
      <c r="U46" s="186"/>
      <c r="V46" s="186">
        <v>11370</v>
      </c>
      <c r="X46" s="186">
        <f t="shared" si="27"/>
        <v>22018</v>
      </c>
      <c r="Y46" s="187">
        <v>0</v>
      </c>
      <c r="Z46" s="186">
        <v>22018</v>
      </c>
      <c r="AA46" s="294">
        <v>0</v>
      </c>
    </row>
    <row r="47" spans="1:27" s="315" customFormat="1" ht="15.75" customHeight="1" hidden="1">
      <c r="A47" s="166"/>
      <c r="B47" s="186" t="s">
        <v>212</v>
      </c>
      <c r="C47" s="186">
        <f t="shared" si="19"/>
        <v>621482</v>
      </c>
      <c r="D47" s="187">
        <f t="shared" si="20"/>
        <v>0</v>
      </c>
      <c r="E47" s="186">
        <f t="shared" si="21"/>
        <v>291720</v>
      </c>
      <c r="F47" s="40">
        <f t="shared" si="22"/>
        <v>191656</v>
      </c>
      <c r="G47" s="201">
        <f t="shared" si="23"/>
        <v>138106</v>
      </c>
      <c r="H47" s="186">
        <f t="shared" si="24"/>
        <v>291870</v>
      </c>
      <c r="I47" s="187">
        <v>0</v>
      </c>
      <c r="J47" s="186">
        <v>114406</v>
      </c>
      <c r="K47" s="40">
        <v>39358</v>
      </c>
      <c r="L47" s="201">
        <v>138106</v>
      </c>
      <c r="M47" s="186">
        <f t="shared" si="25"/>
        <v>180384</v>
      </c>
      <c r="N47" s="187">
        <v>0</v>
      </c>
      <c r="O47" s="186">
        <v>90350</v>
      </c>
      <c r="P47" s="186">
        <v>90034</v>
      </c>
      <c r="Q47" s="186">
        <f t="shared" si="26"/>
        <v>115799</v>
      </c>
      <c r="R47" s="187">
        <v>0</v>
      </c>
      <c r="S47" s="186">
        <v>53535</v>
      </c>
      <c r="T47" s="186">
        <v>62264</v>
      </c>
      <c r="U47" s="186"/>
      <c r="V47" s="186">
        <v>11475</v>
      </c>
      <c r="X47" s="186">
        <f t="shared" si="27"/>
        <v>21954</v>
      </c>
      <c r="Y47" s="187">
        <v>0</v>
      </c>
      <c r="Z47" s="186">
        <v>21954</v>
      </c>
      <c r="AA47" s="294">
        <v>0</v>
      </c>
    </row>
    <row r="48" spans="1:27" s="315" customFormat="1" ht="15.75" customHeight="1" hidden="1">
      <c r="A48" s="166"/>
      <c r="B48" s="186" t="s">
        <v>213</v>
      </c>
      <c r="C48" s="186">
        <f t="shared" si="19"/>
        <v>622331</v>
      </c>
      <c r="D48" s="187">
        <f t="shared" si="20"/>
        <v>0</v>
      </c>
      <c r="E48" s="186">
        <f t="shared" si="21"/>
        <v>292356</v>
      </c>
      <c r="F48" s="40">
        <f t="shared" si="22"/>
        <v>191624</v>
      </c>
      <c r="G48" s="201">
        <f t="shared" si="23"/>
        <v>138351</v>
      </c>
      <c r="H48" s="186">
        <f t="shared" si="24"/>
        <v>291910</v>
      </c>
      <c r="I48" s="187">
        <v>0</v>
      </c>
      <c r="J48" s="186">
        <v>114208</v>
      </c>
      <c r="K48" s="186">
        <v>39351</v>
      </c>
      <c r="L48" s="186">
        <v>138351</v>
      </c>
      <c r="M48" s="186">
        <f t="shared" si="25"/>
        <v>180779</v>
      </c>
      <c r="N48" s="187">
        <v>0</v>
      </c>
      <c r="O48" s="186">
        <v>90754</v>
      </c>
      <c r="P48" s="186">
        <v>90025</v>
      </c>
      <c r="Q48" s="186">
        <f t="shared" si="26"/>
        <v>116105</v>
      </c>
      <c r="R48" s="187">
        <v>0</v>
      </c>
      <c r="S48" s="186">
        <v>53857</v>
      </c>
      <c r="T48" s="186">
        <v>62248</v>
      </c>
      <c r="U48" s="186"/>
      <c r="V48" s="186">
        <v>11606</v>
      </c>
      <c r="X48" s="186">
        <f t="shared" si="27"/>
        <v>21931</v>
      </c>
      <c r="Y48" s="187">
        <v>0</v>
      </c>
      <c r="Z48" s="334">
        <v>21931</v>
      </c>
      <c r="AA48" s="294">
        <v>0</v>
      </c>
    </row>
    <row r="49" spans="1:27" s="315" customFormat="1" ht="15.75" customHeight="1" hidden="1">
      <c r="A49" s="166"/>
      <c r="B49" s="186" t="s">
        <v>214</v>
      </c>
      <c r="C49" s="186">
        <f t="shared" si="19"/>
        <v>621323</v>
      </c>
      <c r="D49" s="187">
        <f t="shared" si="20"/>
        <v>0</v>
      </c>
      <c r="E49" s="186">
        <f t="shared" si="21"/>
        <v>291040</v>
      </c>
      <c r="F49" s="40">
        <f t="shared" si="22"/>
        <v>192000</v>
      </c>
      <c r="G49" s="201">
        <f t="shared" si="23"/>
        <v>138283</v>
      </c>
      <c r="H49" s="186">
        <f t="shared" si="24"/>
        <v>291315</v>
      </c>
      <c r="I49" s="187">
        <v>0</v>
      </c>
      <c r="J49" s="186">
        <v>113662</v>
      </c>
      <c r="K49" s="186">
        <v>39370</v>
      </c>
      <c r="L49" s="186">
        <v>138283</v>
      </c>
      <c r="M49" s="186">
        <f t="shared" si="25"/>
        <v>180613</v>
      </c>
      <c r="N49" s="187">
        <v>0</v>
      </c>
      <c r="O49" s="186">
        <v>90320</v>
      </c>
      <c r="P49" s="186">
        <v>90293</v>
      </c>
      <c r="Q49" s="186">
        <f t="shared" si="26"/>
        <v>115970</v>
      </c>
      <c r="R49" s="187">
        <v>0</v>
      </c>
      <c r="S49" s="186">
        <v>53633</v>
      </c>
      <c r="T49" s="186">
        <v>62337</v>
      </c>
      <c r="U49" s="186"/>
      <c r="V49" s="186">
        <v>11545</v>
      </c>
      <c r="X49" s="186">
        <f t="shared" si="27"/>
        <v>21880</v>
      </c>
      <c r="Y49" s="187">
        <v>0</v>
      </c>
      <c r="Z49" s="334">
        <v>21880</v>
      </c>
      <c r="AA49" s="294">
        <v>0</v>
      </c>
    </row>
    <row r="50" spans="1:27" s="315" customFormat="1" ht="15.75" customHeight="1" hidden="1">
      <c r="A50" s="166"/>
      <c r="B50" s="186" t="s">
        <v>215</v>
      </c>
      <c r="C50" s="186">
        <f t="shared" si="19"/>
        <v>620268</v>
      </c>
      <c r="D50" s="187">
        <f t="shared" si="20"/>
        <v>0</v>
      </c>
      <c r="E50" s="186">
        <f t="shared" si="21"/>
        <v>290155</v>
      </c>
      <c r="F50" s="40">
        <f t="shared" si="22"/>
        <v>191293</v>
      </c>
      <c r="G50" s="201">
        <f aca="true" t="shared" si="28" ref="G50:G55">L50</f>
        <v>138820</v>
      </c>
      <c r="H50" s="186">
        <f t="shared" si="24"/>
        <v>291444</v>
      </c>
      <c r="I50" s="187">
        <v>0</v>
      </c>
      <c r="J50" s="186">
        <v>113446</v>
      </c>
      <c r="K50" s="186">
        <v>39178</v>
      </c>
      <c r="L50" s="186">
        <v>138820</v>
      </c>
      <c r="M50" s="186">
        <f t="shared" si="25"/>
        <v>179971</v>
      </c>
      <c r="N50" s="187">
        <v>0</v>
      </c>
      <c r="O50" s="186">
        <v>90022</v>
      </c>
      <c r="P50" s="186">
        <v>89949</v>
      </c>
      <c r="Q50" s="186">
        <f t="shared" si="26"/>
        <v>115644</v>
      </c>
      <c r="R50" s="187">
        <v>0</v>
      </c>
      <c r="S50" s="186">
        <v>53478</v>
      </c>
      <c r="T50" s="186">
        <v>62166</v>
      </c>
      <c r="U50" s="186"/>
      <c r="V50" s="186">
        <v>11477</v>
      </c>
      <c r="X50" s="186">
        <f t="shared" si="27"/>
        <v>21732</v>
      </c>
      <c r="Y50" s="187">
        <v>0</v>
      </c>
      <c r="Z50" s="334">
        <v>21732</v>
      </c>
      <c r="AA50" s="294">
        <v>0</v>
      </c>
    </row>
    <row r="51" spans="1:27" s="315" customFormat="1" ht="15.75" customHeight="1" hidden="1">
      <c r="A51" s="166"/>
      <c r="B51" s="186" t="s">
        <v>216</v>
      </c>
      <c r="C51" s="186">
        <f t="shared" si="19"/>
        <v>619905</v>
      </c>
      <c r="D51" s="187">
        <f t="shared" si="20"/>
        <v>0</v>
      </c>
      <c r="E51" s="186">
        <f t="shared" si="21"/>
        <v>289904</v>
      </c>
      <c r="F51" s="40">
        <f t="shared" si="22"/>
        <v>190981</v>
      </c>
      <c r="G51" s="201">
        <f t="shared" si="28"/>
        <v>139020</v>
      </c>
      <c r="H51" s="186">
        <f t="shared" si="24"/>
        <v>291500</v>
      </c>
      <c r="I51" s="187">
        <v>0</v>
      </c>
      <c r="J51" s="186">
        <v>113520</v>
      </c>
      <c r="K51" s="186">
        <v>38960</v>
      </c>
      <c r="L51" s="186">
        <v>139020</v>
      </c>
      <c r="M51" s="186">
        <f t="shared" si="25"/>
        <v>179768</v>
      </c>
      <c r="N51" s="187">
        <v>0</v>
      </c>
      <c r="O51" s="186">
        <v>89831</v>
      </c>
      <c r="P51" s="186">
        <v>89937</v>
      </c>
      <c r="Q51" s="186">
        <f t="shared" si="26"/>
        <v>115523</v>
      </c>
      <c r="R51" s="187">
        <v>0</v>
      </c>
      <c r="S51" s="186">
        <v>53439</v>
      </c>
      <c r="T51" s="186">
        <v>62084</v>
      </c>
      <c r="U51" s="186"/>
      <c r="V51" s="186">
        <v>11463</v>
      </c>
      <c r="X51" s="186">
        <f t="shared" si="27"/>
        <v>21651</v>
      </c>
      <c r="Y51" s="187">
        <v>0</v>
      </c>
      <c r="Z51" s="334">
        <v>21651</v>
      </c>
      <c r="AA51" s="294">
        <v>0</v>
      </c>
    </row>
    <row r="52" spans="1:27" s="315" customFormat="1" ht="15.75" customHeight="1" hidden="1">
      <c r="A52" s="166"/>
      <c r="B52" s="186" t="s">
        <v>217</v>
      </c>
      <c r="C52" s="186">
        <f t="shared" si="19"/>
        <v>620094</v>
      </c>
      <c r="D52" s="187">
        <f t="shared" si="20"/>
        <v>0</v>
      </c>
      <c r="E52" s="186">
        <f t="shared" si="21"/>
        <v>289831</v>
      </c>
      <c r="F52" s="40">
        <f t="shared" si="22"/>
        <v>192490</v>
      </c>
      <c r="G52" s="201">
        <f t="shared" si="28"/>
        <v>137773</v>
      </c>
      <c r="H52" s="186">
        <f>SUM(I52:L52)</f>
        <v>290820</v>
      </c>
      <c r="I52" s="187">
        <v>0</v>
      </c>
      <c r="J52" s="186">
        <v>113631</v>
      </c>
      <c r="K52" s="186">
        <v>39416</v>
      </c>
      <c r="L52" s="186">
        <v>137773</v>
      </c>
      <c r="M52" s="186">
        <f>SUM(N52:P52)</f>
        <v>180244</v>
      </c>
      <c r="N52" s="187">
        <v>0</v>
      </c>
      <c r="O52" s="186">
        <v>89785</v>
      </c>
      <c r="P52" s="186">
        <v>90459</v>
      </c>
      <c r="Q52" s="186">
        <f t="shared" si="26"/>
        <v>115976</v>
      </c>
      <c r="R52" s="187">
        <v>0</v>
      </c>
      <c r="S52" s="186">
        <v>53361</v>
      </c>
      <c r="T52" s="186">
        <v>62615</v>
      </c>
      <c r="U52" s="186"/>
      <c r="V52" s="186">
        <v>11434</v>
      </c>
      <c r="X52" s="186">
        <f t="shared" si="27"/>
        <v>21620</v>
      </c>
      <c r="Y52" s="187">
        <v>0</v>
      </c>
      <c r="Z52" s="334">
        <v>21620</v>
      </c>
      <c r="AA52" s="294">
        <v>0</v>
      </c>
    </row>
    <row r="53" spans="1:27" s="315" customFormat="1" ht="15.75" customHeight="1" hidden="1">
      <c r="A53" s="166"/>
      <c r="B53" s="186" t="s">
        <v>218</v>
      </c>
      <c r="C53" s="186">
        <f t="shared" si="19"/>
        <v>619907</v>
      </c>
      <c r="D53" s="187">
        <f t="shared" si="20"/>
        <v>0</v>
      </c>
      <c r="E53" s="186">
        <f t="shared" si="21"/>
        <v>290295</v>
      </c>
      <c r="F53" s="40">
        <f t="shared" si="22"/>
        <v>192495</v>
      </c>
      <c r="G53" s="201">
        <f t="shared" si="28"/>
        <v>137117</v>
      </c>
      <c r="H53" s="186">
        <f>SUM(I53:L53)</f>
        <v>290296</v>
      </c>
      <c r="I53" s="187">
        <v>0</v>
      </c>
      <c r="J53" s="186">
        <v>113745</v>
      </c>
      <c r="K53" s="186">
        <v>39434</v>
      </c>
      <c r="L53" s="186">
        <v>137117</v>
      </c>
      <c r="M53" s="186">
        <f>SUM(N53:P53)</f>
        <v>180454</v>
      </c>
      <c r="N53" s="187">
        <v>0</v>
      </c>
      <c r="O53" s="186">
        <v>90043</v>
      </c>
      <c r="P53" s="186">
        <v>90411</v>
      </c>
      <c r="Q53" s="186">
        <f t="shared" si="26"/>
        <v>115990</v>
      </c>
      <c r="R53" s="187">
        <v>0</v>
      </c>
      <c r="S53" s="186">
        <v>53340</v>
      </c>
      <c r="T53" s="186">
        <v>62650</v>
      </c>
      <c r="U53" s="186"/>
      <c r="V53" s="186">
        <v>11425</v>
      </c>
      <c r="X53" s="186">
        <f t="shared" si="27"/>
        <v>21742</v>
      </c>
      <c r="Y53" s="187">
        <v>0</v>
      </c>
      <c r="Z53" s="334">
        <v>21742</v>
      </c>
      <c r="AA53" s="294">
        <v>0</v>
      </c>
    </row>
    <row r="54" spans="1:27" s="315" customFormat="1" ht="15.75" customHeight="1" hidden="1">
      <c r="A54" s="166"/>
      <c r="B54" s="186" t="s">
        <v>219</v>
      </c>
      <c r="C54" s="186">
        <f t="shared" si="19"/>
        <v>621263</v>
      </c>
      <c r="D54" s="187">
        <f t="shared" si="20"/>
        <v>0</v>
      </c>
      <c r="E54" s="186">
        <f t="shared" si="21"/>
        <v>292560</v>
      </c>
      <c r="F54" s="40">
        <f t="shared" si="22"/>
        <v>192346</v>
      </c>
      <c r="G54" s="201">
        <f t="shared" si="28"/>
        <v>136357</v>
      </c>
      <c r="H54" s="186">
        <f>SUM(I54:L54)</f>
        <v>290478</v>
      </c>
      <c r="I54" s="187">
        <v>0</v>
      </c>
      <c r="J54" s="186">
        <v>114705</v>
      </c>
      <c r="K54" s="186">
        <v>39416</v>
      </c>
      <c r="L54" s="186">
        <v>136357</v>
      </c>
      <c r="M54" s="186">
        <f>SUM(N54:P54)</f>
        <v>181125</v>
      </c>
      <c r="N54" s="187">
        <v>0</v>
      </c>
      <c r="O54" s="186">
        <v>90806</v>
      </c>
      <c r="P54" s="186">
        <v>90319</v>
      </c>
      <c r="Q54" s="186">
        <f>SUM(R54:T54)</f>
        <v>116408</v>
      </c>
      <c r="R54" s="187">
        <v>0</v>
      </c>
      <c r="S54" s="186">
        <v>53797</v>
      </c>
      <c r="T54" s="186">
        <v>62611</v>
      </c>
      <c r="U54" s="186"/>
      <c r="V54" s="186">
        <v>11410</v>
      </c>
      <c r="X54" s="186">
        <f>SUM(Y54:AA54)</f>
        <v>21842</v>
      </c>
      <c r="Y54" s="187">
        <v>0</v>
      </c>
      <c r="Z54" s="334">
        <v>21842</v>
      </c>
      <c r="AA54" s="294">
        <v>0</v>
      </c>
    </row>
    <row r="55" spans="1:27" s="315" customFormat="1" ht="15.75" customHeight="1" hidden="1">
      <c r="A55" s="166"/>
      <c r="B55" s="186" t="s">
        <v>220</v>
      </c>
      <c r="C55" s="186">
        <f t="shared" si="19"/>
        <v>622197</v>
      </c>
      <c r="D55" s="187">
        <f t="shared" si="20"/>
        <v>0</v>
      </c>
      <c r="E55" s="186">
        <f t="shared" si="21"/>
        <v>293535</v>
      </c>
      <c r="F55" s="40">
        <f t="shared" si="22"/>
        <v>192275</v>
      </c>
      <c r="G55" s="201">
        <f t="shared" si="28"/>
        <v>136387</v>
      </c>
      <c r="H55" s="186">
        <f>SUM(I55:L55)</f>
        <v>290899</v>
      </c>
      <c r="I55" s="187">
        <v>0</v>
      </c>
      <c r="J55" s="186">
        <v>115110</v>
      </c>
      <c r="K55" s="186">
        <v>39402</v>
      </c>
      <c r="L55" s="186">
        <v>136387</v>
      </c>
      <c r="M55" s="186">
        <f>SUM(N55:P55)</f>
        <v>181474</v>
      </c>
      <c r="N55" s="187">
        <v>0</v>
      </c>
      <c r="O55" s="186">
        <v>91183</v>
      </c>
      <c r="P55" s="186">
        <v>90291</v>
      </c>
      <c r="Q55" s="186">
        <f>SUM(R55:T55)</f>
        <v>116537</v>
      </c>
      <c r="R55" s="187">
        <v>0</v>
      </c>
      <c r="S55" s="186">
        <v>53955</v>
      </c>
      <c r="T55" s="186">
        <v>62582</v>
      </c>
      <c r="U55" s="186"/>
      <c r="V55" s="186">
        <v>11357</v>
      </c>
      <c r="X55" s="186">
        <f>SUM(Y55:AA55)</f>
        <v>21930</v>
      </c>
      <c r="Y55" s="187">
        <v>0</v>
      </c>
      <c r="Z55" s="334">
        <v>21930</v>
      </c>
      <c r="AA55" s="294">
        <v>0</v>
      </c>
    </row>
    <row r="56" spans="1:27" s="315" customFormat="1" ht="15.75" customHeight="1">
      <c r="A56" s="166"/>
      <c r="B56" s="268" t="s">
        <v>221</v>
      </c>
      <c r="C56" s="186"/>
      <c r="D56" s="187"/>
      <c r="E56" s="186"/>
      <c r="F56" s="40"/>
      <c r="G56" s="201"/>
      <c r="H56" s="186"/>
      <c r="I56" s="187"/>
      <c r="J56" s="186"/>
      <c r="K56" s="186"/>
      <c r="L56" s="186"/>
      <c r="M56" s="186"/>
      <c r="N56" s="187"/>
      <c r="O56" s="186"/>
      <c r="P56" s="186"/>
      <c r="Q56" s="186"/>
      <c r="R56" s="187"/>
      <c r="S56" s="186"/>
      <c r="T56" s="186"/>
      <c r="U56" s="186"/>
      <c r="V56" s="186"/>
      <c r="X56" s="186"/>
      <c r="Y56" s="187"/>
      <c r="Z56" s="334"/>
      <c r="AA56" s="294"/>
    </row>
    <row r="57" spans="1:27" s="365" customFormat="1" ht="15.75" customHeight="1">
      <c r="A57" s="361"/>
      <c r="B57" s="187" t="s">
        <v>222</v>
      </c>
      <c r="C57" s="187">
        <f aca="true" t="shared" si="29" ref="C57:C68">SUM(D57:G57)</f>
        <v>621428</v>
      </c>
      <c r="D57" s="187">
        <f aca="true" t="shared" si="30" ref="D57:D69">I57+N57+R57+Y57</f>
        <v>0</v>
      </c>
      <c r="E57" s="187">
        <f aca="true" t="shared" si="31" ref="E57:E68">J57+O57+S57+V57+Z57</f>
        <v>294112</v>
      </c>
      <c r="F57" s="362">
        <f>K57+P57+T57+AA57+W57</f>
        <v>191713</v>
      </c>
      <c r="G57" s="363">
        <f aca="true" t="shared" si="32" ref="G57:G69">L57</f>
        <v>135603</v>
      </c>
      <c r="H57" s="187">
        <f aca="true" t="shared" si="33" ref="H57:H69">SUM(I57:L57)</f>
        <v>290535</v>
      </c>
      <c r="I57" s="187">
        <v>0</v>
      </c>
      <c r="J57" s="187">
        <v>115664</v>
      </c>
      <c r="K57" s="187">
        <v>39268</v>
      </c>
      <c r="L57" s="187">
        <v>135603</v>
      </c>
      <c r="M57" s="187">
        <f aca="true" t="shared" si="34" ref="M57:M69">SUM(N57:P57)</f>
        <v>181232</v>
      </c>
      <c r="N57" s="187">
        <v>0</v>
      </c>
      <c r="O57" s="187">
        <v>91287</v>
      </c>
      <c r="P57" s="187">
        <v>89945</v>
      </c>
      <c r="Q57" s="187">
        <f aca="true" t="shared" si="35" ref="Q57:Q69">SUM(R57:T57)</f>
        <v>116444</v>
      </c>
      <c r="R57" s="187">
        <v>0</v>
      </c>
      <c r="S57" s="187">
        <v>53944</v>
      </c>
      <c r="T57" s="187">
        <v>62500</v>
      </c>
      <c r="U57" s="187"/>
      <c r="V57" s="187">
        <v>11366</v>
      </c>
      <c r="X57" s="187">
        <f aca="true" t="shared" si="36" ref="X57:X69">SUM(Y57:AA57)</f>
        <v>21851</v>
      </c>
      <c r="Y57" s="187">
        <v>0</v>
      </c>
      <c r="Z57" s="364">
        <v>21851</v>
      </c>
      <c r="AA57" s="294">
        <v>0</v>
      </c>
    </row>
    <row r="58" spans="1:27" s="365" customFormat="1" ht="15.75" customHeight="1">
      <c r="A58" s="361"/>
      <c r="B58" s="187" t="s">
        <v>224</v>
      </c>
      <c r="C58" s="187">
        <f t="shared" si="29"/>
        <v>620527</v>
      </c>
      <c r="D58" s="187">
        <f t="shared" si="30"/>
        <v>0</v>
      </c>
      <c r="E58" s="187">
        <f t="shared" si="31"/>
        <v>293789</v>
      </c>
      <c r="F58" s="362">
        <f aca="true" t="shared" si="37" ref="F58:F68">K58+P58+T58+AA58+W58</f>
        <v>191176</v>
      </c>
      <c r="G58" s="363">
        <f t="shared" si="32"/>
        <v>135562</v>
      </c>
      <c r="H58" s="187">
        <f t="shared" si="33"/>
        <v>290347</v>
      </c>
      <c r="I58" s="187">
        <v>0</v>
      </c>
      <c r="J58" s="187">
        <v>115610</v>
      </c>
      <c r="K58" s="187">
        <v>39175</v>
      </c>
      <c r="L58" s="187">
        <v>135562</v>
      </c>
      <c r="M58" s="187">
        <f t="shared" si="34"/>
        <v>180650</v>
      </c>
      <c r="N58" s="187">
        <v>0</v>
      </c>
      <c r="O58" s="187">
        <v>91003</v>
      </c>
      <c r="P58" s="187">
        <v>89647</v>
      </c>
      <c r="Q58" s="187">
        <f t="shared" si="35"/>
        <v>116236</v>
      </c>
      <c r="R58" s="187">
        <v>0</v>
      </c>
      <c r="S58" s="187">
        <v>53882</v>
      </c>
      <c r="T58" s="187">
        <v>62354</v>
      </c>
      <c r="U58" s="187"/>
      <c r="V58" s="187">
        <v>11398</v>
      </c>
      <c r="X58" s="187">
        <f t="shared" si="36"/>
        <v>21896</v>
      </c>
      <c r="Y58" s="187">
        <v>0</v>
      </c>
      <c r="Z58" s="364">
        <v>21896</v>
      </c>
      <c r="AA58" s="294">
        <v>0</v>
      </c>
    </row>
    <row r="59" spans="1:27" s="365" customFormat="1" ht="15.75" customHeight="1">
      <c r="A59" s="361"/>
      <c r="B59" s="187" t="s">
        <v>226</v>
      </c>
      <c r="C59" s="187">
        <f t="shared" si="29"/>
        <v>619184</v>
      </c>
      <c r="D59" s="187">
        <f t="shared" si="30"/>
        <v>0</v>
      </c>
      <c r="E59" s="187">
        <f t="shared" si="31"/>
        <v>292765</v>
      </c>
      <c r="F59" s="362">
        <f t="shared" si="37"/>
        <v>191167</v>
      </c>
      <c r="G59" s="363">
        <f t="shared" si="32"/>
        <v>135252</v>
      </c>
      <c r="H59" s="187">
        <f t="shared" si="33"/>
        <v>289727</v>
      </c>
      <c r="I59" s="187">
        <v>0</v>
      </c>
      <c r="J59" s="187">
        <v>115238</v>
      </c>
      <c r="K59" s="187">
        <v>39237</v>
      </c>
      <c r="L59" s="187">
        <v>135252</v>
      </c>
      <c r="M59" s="187">
        <f t="shared" si="34"/>
        <v>180240</v>
      </c>
      <c r="N59" s="187">
        <v>0</v>
      </c>
      <c r="O59" s="187">
        <v>90625</v>
      </c>
      <c r="P59" s="187">
        <v>89615</v>
      </c>
      <c r="Q59" s="187">
        <f t="shared" si="35"/>
        <v>116027</v>
      </c>
      <c r="R59" s="187">
        <v>0</v>
      </c>
      <c r="S59" s="187">
        <v>53712</v>
      </c>
      <c r="T59" s="187">
        <v>62315</v>
      </c>
      <c r="U59" s="187"/>
      <c r="V59" s="187">
        <v>11366</v>
      </c>
      <c r="X59" s="187">
        <f t="shared" si="36"/>
        <v>21824</v>
      </c>
      <c r="Y59" s="187">
        <v>0</v>
      </c>
      <c r="Z59" s="364">
        <v>21824</v>
      </c>
      <c r="AA59" s="294">
        <v>0</v>
      </c>
    </row>
    <row r="60" spans="1:27" s="365" customFormat="1" ht="15.75" customHeight="1">
      <c r="A60" s="361"/>
      <c r="B60" s="187" t="s">
        <v>227</v>
      </c>
      <c r="C60" s="187">
        <f t="shared" si="29"/>
        <v>619885</v>
      </c>
      <c r="D60" s="187">
        <f t="shared" si="30"/>
        <v>0</v>
      </c>
      <c r="E60" s="187">
        <f t="shared" si="31"/>
        <v>293776</v>
      </c>
      <c r="F60" s="362">
        <f t="shared" si="37"/>
        <v>191089</v>
      </c>
      <c r="G60" s="363">
        <f t="shared" si="32"/>
        <v>135020</v>
      </c>
      <c r="H60" s="187">
        <f t="shared" si="33"/>
        <v>290176</v>
      </c>
      <c r="I60" s="187">
        <v>0</v>
      </c>
      <c r="J60" s="187">
        <v>115923</v>
      </c>
      <c r="K60" s="187">
        <v>39233</v>
      </c>
      <c r="L60" s="187">
        <v>135020</v>
      </c>
      <c r="M60" s="187">
        <f t="shared" si="34"/>
        <v>180396</v>
      </c>
      <c r="N60" s="187">
        <v>0</v>
      </c>
      <c r="O60" s="187">
        <v>90834</v>
      </c>
      <c r="P60" s="187">
        <v>89562</v>
      </c>
      <c r="Q60" s="187">
        <f t="shared" si="35"/>
        <v>116036</v>
      </c>
      <c r="R60" s="187">
        <v>0</v>
      </c>
      <c r="S60" s="187">
        <v>53742</v>
      </c>
      <c r="T60" s="187">
        <v>62294</v>
      </c>
      <c r="U60" s="187"/>
      <c r="V60" s="187">
        <v>11511</v>
      </c>
      <c r="X60" s="187">
        <f t="shared" si="36"/>
        <v>21766</v>
      </c>
      <c r="Y60" s="187">
        <v>0</v>
      </c>
      <c r="Z60" s="364">
        <v>21766</v>
      </c>
      <c r="AA60" s="294">
        <v>0</v>
      </c>
    </row>
    <row r="61" spans="1:27" s="365" customFormat="1" ht="15.75" customHeight="1">
      <c r="A61" s="361"/>
      <c r="B61" s="187" t="s">
        <v>228</v>
      </c>
      <c r="C61" s="187">
        <f t="shared" si="29"/>
        <v>620607</v>
      </c>
      <c r="D61" s="187">
        <f t="shared" si="30"/>
        <v>0</v>
      </c>
      <c r="E61" s="187">
        <f t="shared" si="31"/>
        <v>294377</v>
      </c>
      <c r="F61" s="362">
        <f t="shared" si="37"/>
        <v>191063</v>
      </c>
      <c r="G61" s="363">
        <f t="shared" si="32"/>
        <v>135167</v>
      </c>
      <c r="H61" s="187">
        <f aca="true" t="shared" si="38" ref="H61:H67">SUM(I61:L61)</f>
        <v>290218</v>
      </c>
      <c r="I61" s="187">
        <v>0</v>
      </c>
      <c r="J61" s="187">
        <v>115835</v>
      </c>
      <c r="K61" s="187">
        <v>39216</v>
      </c>
      <c r="L61" s="187">
        <v>135167</v>
      </c>
      <c r="M61" s="187">
        <f aca="true" t="shared" si="39" ref="M61:M67">SUM(N61:P61)</f>
        <v>180663</v>
      </c>
      <c r="N61" s="187">
        <v>0</v>
      </c>
      <c r="O61" s="187">
        <v>91105</v>
      </c>
      <c r="P61" s="187">
        <v>89558</v>
      </c>
      <c r="Q61" s="187">
        <f aca="true" t="shared" si="40" ref="Q61:Q67">SUM(R61:T61)</f>
        <v>116369</v>
      </c>
      <c r="R61" s="187">
        <v>0</v>
      </c>
      <c r="S61" s="187">
        <v>54080</v>
      </c>
      <c r="T61" s="187">
        <v>62289</v>
      </c>
      <c r="U61" s="187"/>
      <c r="V61" s="187">
        <v>11592</v>
      </c>
      <c r="X61" s="187">
        <f aca="true" t="shared" si="41" ref="X61:X67">SUM(Y61:AA61)</f>
        <v>21765</v>
      </c>
      <c r="Y61" s="187">
        <v>0</v>
      </c>
      <c r="Z61" s="364">
        <v>21765</v>
      </c>
      <c r="AA61" s="294">
        <v>0</v>
      </c>
    </row>
    <row r="62" spans="1:27" s="365" customFormat="1" ht="15.75" customHeight="1">
      <c r="A62" s="361"/>
      <c r="B62" s="187" t="s">
        <v>230</v>
      </c>
      <c r="C62" s="187">
        <f aca="true" t="shared" si="42" ref="C62:C67">SUM(D62:G62)</f>
        <v>620225</v>
      </c>
      <c r="D62" s="187">
        <f t="shared" si="30"/>
        <v>0</v>
      </c>
      <c r="E62" s="187">
        <f t="shared" si="31"/>
        <v>293064</v>
      </c>
      <c r="F62" s="362">
        <f t="shared" si="37"/>
        <v>191446</v>
      </c>
      <c r="G62" s="363">
        <f aca="true" t="shared" si="43" ref="G62:G67">L62</f>
        <v>135715</v>
      </c>
      <c r="H62" s="187">
        <f t="shared" si="38"/>
        <v>290321</v>
      </c>
      <c r="I62" s="187">
        <v>0</v>
      </c>
      <c r="J62" s="187">
        <v>115377</v>
      </c>
      <c r="K62" s="187">
        <v>39229</v>
      </c>
      <c r="L62" s="187">
        <v>135715</v>
      </c>
      <c r="M62" s="187">
        <f t="shared" si="39"/>
        <v>180440</v>
      </c>
      <c r="N62" s="187">
        <v>0</v>
      </c>
      <c r="O62" s="187">
        <v>90605</v>
      </c>
      <c r="P62" s="187">
        <v>89835</v>
      </c>
      <c r="Q62" s="187">
        <f t="shared" si="40"/>
        <v>116274</v>
      </c>
      <c r="R62" s="187">
        <v>0</v>
      </c>
      <c r="S62" s="187">
        <v>53892</v>
      </c>
      <c r="T62" s="187">
        <v>62382</v>
      </c>
      <c r="U62" s="187"/>
      <c r="V62" s="187">
        <v>11523</v>
      </c>
      <c r="X62" s="187">
        <f t="shared" si="41"/>
        <v>21667</v>
      </c>
      <c r="Y62" s="187">
        <v>0</v>
      </c>
      <c r="Z62" s="364">
        <v>21667</v>
      </c>
      <c r="AA62" s="294">
        <v>0</v>
      </c>
    </row>
    <row r="63" spans="1:27" s="365" customFormat="1" ht="15.75" customHeight="1">
      <c r="A63" s="361"/>
      <c r="B63" s="187" t="s">
        <v>231</v>
      </c>
      <c r="C63" s="187">
        <f t="shared" si="42"/>
        <v>621165</v>
      </c>
      <c r="D63" s="187">
        <f t="shared" si="30"/>
        <v>0</v>
      </c>
      <c r="E63" s="187">
        <f t="shared" si="31"/>
        <v>292084</v>
      </c>
      <c r="F63" s="362">
        <f t="shared" si="37"/>
        <v>190907</v>
      </c>
      <c r="G63" s="363">
        <f t="shared" si="43"/>
        <v>138174</v>
      </c>
      <c r="H63" s="187">
        <f t="shared" si="38"/>
        <v>292350</v>
      </c>
      <c r="I63" s="187">
        <v>0</v>
      </c>
      <c r="J63" s="187">
        <v>115054</v>
      </c>
      <c r="K63" s="187">
        <v>39122</v>
      </c>
      <c r="L63" s="187">
        <v>138174</v>
      </c>
      <c r="M63" s="187">
        <f t="shared" si="39"/>
        <v>180032</v>
      </c>
      <c r="N63" s="187">
        <v>0</v>
      </c>
      <c r="O63" s="187">
        <v>90469</v>
      </c>
      <c r="P63" s="187">
        <v>89563</v>
      </c>
      <c r="Q63" s="187">
        <f t="shared" si="40"/>
        <v>115902</v>
      </c>
      <c r="R63" s="187">
        <v>0</v>
      </c>
      <c r="S63" s="187">
        <v>53680</v>
      </c>
      <c r="T63" s="187">
        <v>62222</v>
      </c>
      <c r="U63" s="187"/>
      <c r="V63" s="187">
        <v>11457</v>
      </c>
      <c r="X63" s="187">
        <f t="shared" si="41"/>
        <v>21424</v>
      </c>
      <c r="Y63" s="187">
        <v>0</v>
      </c>
      <c r="Z63" s="364">
        <v>21424</v>
      </c>
      <c r="AA63" s="294">
        <v>0</v>
      </c>
    </row>
    <row r="64" spans="1:27" s="365" customFormat="1" ht="15.75" customHeight="1">
      <c r="A64" s="361"/>
      <c r="B64" s="187" t="s">
        <v>232</v>
      </c>
      <c r="C64" s="187">
        <f t="shared" si="42"/>
        <v>620183</v>
      </c>
      <c r="D64" s="187">
        <f t="shared" si="30"/>
        <v>0</v>
      </c>
      <c r="E64" s="187">
        <f t="shared" si="31"/>
        <v>291560</v>
      </c>
      <c r="F64" s="362">
        <f t="shared" si="37"/>
        <v>190315</v>
      </c>
      <c r="G64" s="363">
        <f t="shared" si="43"/>
        <v>138308</v>
      </c>
      <c r="H64" s="187">
        <f t="shared" si="38"/>
        <v>292085</v>
      </c>
      <c r="I64" s="187">
        <v>0</v>
      </c>
      <c r="J64" s="187">
        <v>114935</v>
      </c>
      <c r="K64" s="187">
        <v>38842</v>
      </c>
      <c r="L64" s="187">
        <v>138308</v>
      </c>
      <c r="M64" s="187">
        <f t="shared" si="39"/>
        <v>179593</v>
      </c>
      <c r="N64" s="187">
        <v>0</v>
      </c>
      <c r="O64" s="187">
        <v>90261</v>
      </c>
      <c r="P64" s="187">
        <v>89332</v>
      </c>
      <c r="Q64" s="187">
        <f t="shared" si="40"/>
        <v>115706</v>
      </c>
      <c r="R64" s="187">
        <v>0</v>
      </c>
      <c r="S64" s="187">
        <v>53565</v>
      </c>
      <c r="T64" s="187">
        <v>62141</v>
      </c>
      <c r="U64" s="187"/>
      <c r="V64" s="187">
        <v>11445</v>
      </c>
      <c r="X64" s="187">
        <f t="shared" si="41"/>
        <v>21354</v>
      </c>
      <c r="Y64" s="187">
        <v>0</v>
      </c>
      <c r="Z64" s="364">
        <v>21354</v>
      </c>
      <c r="AA64" s="294">
        <v>0</v>
      </c>
    </row>
    <row r="65" spans="1:27" s="365" customFormat="1" ht="15.75" customHeight="1">
      <c r="A65" s="361"/>
      <c r="B65" s="187" t="s">
        <v>236</v>
      </c>
      <c r="C65" s="187">
        <f t="shared" si="42"/>
        <v>620816</v>
      </c>
      <c r="D65" s="187">
        <f t="shared" si="30"/>
        <v>0</v>
      </c>
      <c r="E65" s="187">
        <f t="shared" si="31"/>
        <v>291222</v>
      </c>
      <c r="F65" s="362">
        <f t="shared" si="37"/>
        <v>191827</v>
      </c>
      <c r="G65" s="363">
        <f t="shared" si="43"/>
        <v>137767</v>
      </c>
      <c r="H65" s="187">
        <f t="shared" si="38"/>
        <v>291876</v>
      </c>
      <c r="I65" s="187">
        <v>0</v>
      </c>
      <c r="J65" s="187">
        <v>114905</v>
      </c>
      <c r="K65" s="187">
        <v>39204</v>
      </c>
      <c r="L65" s="187">
        <v>137767</v>
      </c>
      <c r="M65" s="187">
        <f t="shared" si="39"/>
        <v>180001</v>
      </c>
      <c r="N65" s="187">
        <v>0</v>
      </c>
      <c r="O65" s="187">
        <v>90146</v>
      </c>
      <c r="P65" s="187">
        <v>89855</v>
      </c>
      <c r="Q65" s="187">
        <f t="shared" si="40"/>
        <v>116251</v>
      </c>
      <c r="R65" s="187">
        <v>0</v>
      </c>
      <c r="S65" s="187">
        <v>53483</v>
      </c>
      <c r="T65" s="187">
        <v>62768</v>
      </c>
      <c r="U65" s="187"/>
      <c r="V65" s="187">
        <v>11405</v>
      </c>
      <c r="X65" s="187">
        <f t="shared" si="41"/>
        <v>21283</v>
      </c>
      <c r="Y65" s="187">
        <v>0</v>
      </c>
      <c r="Z65" s="364">
        <v>21283</v>
      </c>
      <c r="AA65" s="294">
        <v>0</v>
      </c>
    </row>
    <row r="66" spans="1:27" s="365" customFormat="1" ht="15.75" customHeight="1">
      <c r="A66" s="361"/>
      <c r="B66" s="187" t="s">
        <v>238</v>
      </c>
      <c r="C66" s="187">
        <f t="shared" si="42"/>
        <v>622711</v>
      </c>
      <c r="D66" s="187">
        <f t="shared" si="30"/>
        <v>0</v>
      </c>
      <c r="E66" s="187">
        <f t="shared" si="31"/>
        <v>291060</v>
      </c>
      <c r="F66" s="362">
        <f t="shared" si="37"/>
        <v>191802</v>
      </c>
      <c r="G66" s="363">
        <f t="shared" si="43"/>
        <v>139849</v>
      </c>
      <c r="H66" s="187">
        <f t="shared" si="38"/>
        <v>294028</v>
      </c>
      <c r="I66" s="187">
        <v>0</v>
      </c>
      <c r="J66" s="187">
        <v>114955</v>
      </c>
      <c r="K66" s="187">
        <v>39224</v>
      </c>
      <c r="L66" s="187">
        <v>139849</v>
      </c>
      <c r="M66" s="187">
        <f t="shared" si="39"/>
        <v>179785</v>
      </c>
      <c r="N66" s="187">
        <v>0</v>
      </c>
      <c r="O66" s="187">
        <v>90015</v>
      </c>
      <c r="P66" s="187">
        <v>89770</v>
      </c>
      <c r="Q66" s="187">
        <f t="shared" si="40"/>
        <v>116259</v>
      </c>
      <c r="R66" s="187">
        <v>0</v>
      </c>
      <c r="S66" s="187">
        <v>53452</v>
      </c>
      <c r="T66" s="187">
        <v>62807</v>
      </c>
      <c r="U66" s="187">
        <f>SUM(V66:W66)</f>
        <v>11370</v>
      </c>
      <c r="V66" s="187">
        <v>11369</v>
      </c>
      <c r="W66" s="365">
        <v>1</v>
      </c>
      <c r="X66" s="187">
        <f t="shared" si="41"/>
        <v>21269</v>
      </c>
      <c r="Y66" s="187">
        <v>0</v>
      </c>
      <c r="Z66" s="364">
        <v>21269</v>
      </c>
      <c r="AA66" s="294">
        <v>0</v>
      </c>
    </row>
    <row r="67" spans="1:27" s="365" customFormat="1" ht="15.75" customHeight="1">
      <c r="A67" s="361"/>
      <c r="B67" s="187" t="s">
        <v>239</v>
      </c>
      <c r="C67" s="187">
        <f t="shared" si="42"/>
        <v>624196</v>
      </c>
      <c r="D67" s="187">
        <f>I67+N67+R67+Y67</f>
        <v>0</v>
      </c>
      <c r="E67" s="187">
        <f>J67+O67+S67+V67+Z67</f>
        <v>290706</v>
      </c>
      <c r="F67" s="362">
        <f>K67+P67+T67+AA67+W67</f>
        <v>191608</v>
      </c>
      <c r="G67" s="363">
        <f t="shared" si="43"/>
        <v>141882</v>
      </c>
      <c r="H67" s="187">
        <f t="shared" si="38"/>
        <v>296128</v>
      </c>
      <c r="I67" s="187">
        <v>0</v>
      </c>
      <c r="J67" s="187">
        <v>115054</v>
      </c>
      <c r="K67" s="187">
        <v>39192</v>
      </c>
      <c r="L67" s="187">
        <v>141882</v>
      </c>
      <c r="M67" s="187">
        <f t="shared" si="39"/>
        <v>179471</v>
      </c>
      <c r="N67" s="187">
        <v>0</v>
      </c>
      <c r="O67" s="187">
        <v>89803</v>
      </c>
      <c r="P67" s="187">
        <v>89668</v>
      </c>
      <c r="Q67" s="187">
        <f t="shared" si="40"/>
        <v>116055</v>
      </c>
      <c r="R67" s="187">
        <v>0</v>
      </c>
      <c r="S67" s="187">
        <v>53308</v>
      </c>
      <c r="T67" s="187">
        <v>62747</v>
      </c>
      <c r="U67" s="187">
        <f>SUM(V67:W67)</f>
        <v>11300</v>
      </c>
      <c r="V67" s="187">
        <v>11299</v>
      </c>
      <c r="W67" s="365">
        <v>1</v>
      </c>
      <c r="X67" s="187">
        <f t="shared" si="41"/>
        <v>21242</v>
      </c>
      <c r="Y67" s="187">
        <v>0</v>
      </c>
      <c r="Z67" s="364">
        <v>21242</v>
      </c>
      <c r="AA67" s="294">
        <v>0</v>
      </c>
    </row>
    <row r="68" spans="1:27" s="365" customFormat="1" ht="15.75" customHeight="1">
      <c r="A68" s="361"/>
      <c r="B68" s="187" t="s">
        <v>243</v>
      </c>
      <c r="C68" s="187">
        <f t="shared" si="29"/>
        <v>624993</v>
      </c>
      <c r="D68" s="187">
        <f t="shared" si="30"/>
        <v>0</v>
      </c>
      <c r="E68" s="187">
        <f t="shared" si="31"/>
        <v>289833</v>
      </c>
      <c r="F68" s="362">
        <f t="shared" si="37"/>
        <v>191541</v>
      </c>
      <c r="G68" s="363">
        <f t="shared" si="32"/>
        <v>143619</v>
      </c>
      <c r="H68" s="187">
        <f t="shared" si="33"/>
        <v>297737</v>
      </c>
      <c r="I68" s="187">
        <v>0</v>
      </c>
      <c r="J68" s="187">
        <v>114954</v>
      </c>
      <c r="K68" s="187">
        <v>39164</v>
      </c>
      <c r="L68" s="187">
        <v>143619</v>
      </c>
      <c r="M68" s="187">
        <f t="shared" si="34"/>
        <v>180572</v>
      </c>
      <c r="N68" s="187">
        <v>0</v>
      </c>
      <c r="O68" s="187">
        <f>91411-1386</f>
        <v>90025</v>
      </c>
      <c r="P68" s="187">
        <f>95818-5271</f>
        <v>90547</v>
      </c>
      <c r="Q68" s="187">
        <f t="shared" si="35"/>
        <v>114361</v>
      </c>
      <c r="R68" s="187">
        <v>0</v>
      </c>
      <c r="S68" s="187">
        <f>51240+1292</f>
        <v>52532</v>
      </c>
      <c r="T68" s="187">
        <f>56558+5271</f>
        <v>61829</v>
      </c>
      <c r="U68" s="187">
        <f>SUM(V68:W68)</f>
        <v>11128</v>
      </c>
      <c r="V68" s="187">
        <f>11033+94</f>
        <v>11127</v>
      </c>
      <c r="W68" s="365">
        <v>1</v>
      </c>
      <c r="X68" s="187">
        <f t="shared" si="36"/>
        <v>21195</v>
      </c>
      <c r="Y68" s="187">
        <v>0</v>
      </c>
      <c r="Z68" s="364">
        <v>21195</v>
      </c>
      <c r="AA68" s="294">
        <v>0</v>
      </c>
    </row>
    <row r="69" spans="1:27" s="132" customFormat="1" ht="15.75" customHeight="1">
      <c r="A69" s="316"/>
      <c r="B69" s="84" t="s">
        <v>10</v>
      </c>
      <c r="C69" s="85">
        <f>SUM(D69:G69)</f>
        <v>100.00000000000001</v>
      </c>
      <c r="D69" s="85">
        <f t="shared" si="30"/>
        <v>0</v>
      </c>
      <c r="E69" s="85">
        <f>J69+O69+S69+V69+Z69</f>
        <v>46.370000000000005</v>
      </c>
      <c r="F69" s="85">
        <f>K69+P69+T69+AA69+W69</f>
        <v>30.650000000000002</v>
      </c>
      <c r="G69" s="85">
        <f t="shared" si="32"/>
        <v>22.98</v>
      </c>
      <c r="H69" s="202">
        <f t="shared" si="33"/>
        <v>47.64</v>
      </c>
      <c r="I69" s="202">
        <f>ROUND(I68/$C68,4)*100</f>
        <v>0</v>
      </c>
      <c r="J69" s="202">
        <f>ROUND(J68/$C68,4)*100</f>
        <v>18.39</v>
      </c>
      <c r="K69" s="202">
        <f>ROUND(K68/$C68,4)*100</f>
        <v>6.2700000000000005</v>
      </c>
      <c r="L69" s="202">
        <f>ROUND(L68/$C68,4)*100</f>
        <v>22.98</v>
      </c>
      <c r="M69" s="202">
        <f t="shared" si="34"/>
        <v>28.89</v>
      </c>
      <c r="N69" s="202">
        <f>ROUND(N68/$C68,4)*100</f>
        <v>0</v>
      </c>
      <c r="O69" s="202">
        <f>ROUND(O68/$C68,4)*100</f>
        <v>14.399999999999999</v>
      </c>
      <c r="P69" s="202">
        <f>ROUND(P68/$C68,4)*100</f>
        <v>14.49</v>
      </c>
      <c r="Q69" s="202">
        <f t="shared" si="35"/>
        <v>18.3</v>
      </c>
      <c r="R69" s="202">
        <f>ROUND(R68/$C68,4)*100</f>
        <v>0</v>
      </c>
      <c r="S69" s="202">
        <f>ROUND(S68/$C68,4)*100</f>
        <v>8.41</v>
      </c>
      <c r="T69" s="202">
        <f>ROUND(T68/$C68,4)*100</f>
        <v>9.89</v>
      </c>
      <c r="U69" s="202">
        <f>SUM(V69:W69)</f>
        <v>1.78</v>
      </c>
      <c r="V69" s="202">
        <f>ROUND(V68/$C68,4)*100</f>
        <v>1.78</v>
      </c>
      <c r="W69" s="202">
        <f>ROUND(W68/$C68,4)*100</f>
        <v>0</v>
      </c>
      <c r="X69" s="202">
        <f t="shared" si="36"/>
        <v>3.39</v>
      </c>
      <c r="Y69" s="202">
        <f>ROUND(Y68/$C68,4)*100</f>
        <v>0</v>
      </c>
      <c r="Z69" s="202">
        <f>ROUND(Z68/$C68,4)*100</f>
        <v>3.39</v>
      </c>
      <c r="AA69" s="202">
        <f>ROUND(AA68/$C68,4)*100</f>
        <v>0</v>
      </c>
    </row>
    <row r="70" spans="1:36" s="52" customFormat="1" ht="15.75" customHeight="1">
      <c r="A70" s="91"/>
      <c r="B70" s="130" t="s">
        <v>91</v>
      </c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131" t="s">
        <v>92</v>
      </c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3"/>
      <c r="AH70" s="63"/>
      <c r="AI70" s="63"/>
      <c r="AJ70" s="62"/>
    </row>
    <row r="71" spans="2:28" s="1" customFormat="1" ht="39" customHeight="1" hidden="1">
      <c r="B71" s="38"/>
      <c r="C71" s="38"/>
      <c r="D71" s="38"/>
      <c r="E71" s="38"/>
      <c r="F71" s="38"/>
      <c r="G71" s="38" t="s">
        <v>225</v>
      </c>
      <c r="H71" s="351">
        <f>ROUND(H68/$C68,5)*100</f>
        <v>47.638000000000005</v>
      </c>
      <c r="I71" s="351">
        <f aca="true" t="shared" si="44" ref="I71:T71">ROUND(I68/$C68,5)*100</f>
        <v>0</v>
      </c>
      <c r="J71" s="351">
        <f t="shared" si="44"/>
        <v>18.393</v>
      </c>
      <c r="K71" s="351">
        <f t="shared" si="44"/>
        <v>6.265999999999999</v>
      </c>
      <c r="L71" s="351">
        <f t="shared" si="44"/>
        <v>22.979</v>
      </c>
      <c r="M71" s="351">
        <f t="shared" si="44"/>
        <v>28.892</v>
      </c>
      <c r="N71" s="351">
        <f t="shared" si="44"/>
        <v>0</v>
      </c>
      <c r="O71" s="351">
        <f t="shared" si="44"/>
        <v>14.404</v>
      </c>
      <c r="P71" s="351">
        <f t="shared" si="44"/>
        <v>14.488000000000001</v>
      </c>
      <c r="Q71" s="351">
        <f t="shared" si="44"/>
        <v>18.298000000000002</v>
      </c>
      <c r="R71" s="351">
        <f t="shared" si="44"/>
        <v>0</v>
      </c>
      <c r="S71" s="351">
        <f t="shared" si="44"/>
        <v>8.405</v>
      </c>
      <c r="T71" s="351">
        <f t="shared" si="44"/>
        <v>9.893</v>
      </c>
      <c r="U71" s="351"/>
      <c r="V71" s="351"/>
      <c r="W71" s="351">
        <f>ROUND(V68/$C68,5)*100</f>
        <v>1.78</v>
      </c>
      <c r="X71" s="351">
        <f>ROUND(X68/$C68,5)*100</f>
        <v>3.3910000000000005</v>
      </c>
      <c r="Y71" s="351">
        <f>ROUND(Y68/$C68,5)*100</f>
        <v>0</v>
      </c>
      <c r="Z71" s="351">
        <f>ROUND(Z68/$C68,5)*100</f>
        <v>3.3910000000000005</v>
      </c>
      <c r="AA71" s="351">
        <f>ROUND(AA68/$C68,5)*100</f>
        <v>0</v>
      </c>
      <c r="AB71" s="351"/>
    </row>
    <row r="72" spans="2:15" ht="30" customHeight="1">
      <c r="B72" s="34"/>
      <c r="C72" s="34"/>
      <c r="D72" s="34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</row>
    <row r="77" spans="3:4" ht="30" customHeight="1">
      <c r="C77" s="37"/>
      <c r="D77" s="37"/>
    </row>
    <row r="78" spans="3:4" ht="30" customHeight="1">
      <c r="C78" s="37"/>
      <c r="D78" s="37"/>
    </row>
    <row r="79" spans="3:4" ht="30" customHeight="1">
      <c r="C79" s="37"/>
      <c r="D79" s="37"/>
    </row>
    <row r="80" spans="3:4" ht="30" customHeight="1">
      <c r="C80" s="37"/>
      <c r="D80" s="37"/>
    </row>
    <row r="81" spans="3:4" ht="30" customHeight="1">
      <c r="C81" s="37"/>
      <c r="D81" s="37"/>
    </row>
    <row r="82" spans="3:4" ht="30" customHeight="1">
      <c r="C82" s="37"/>
      <c r="D82" s="37"/>
    </row>
    <row r="83" spans="3:4" ht="30" customHeight="1">
      <c r="C83" s="37"/>
      <c r="D83" s="37"/>
    </row>
    <row r="84" spans="3:4" ht="30" customHeight="1">
      <c r="C84" s="37"/>
      <c r="D84" s="37"/>
    </row>
    <row r="85" spans="3:4" ht="30" customHeight="1">
      <c r="C85" s="37"/>
      <c r="D85" s="37"/>
    </row>
    <row r="86" spans="3:4" ht="30" customHeight="1">
      <c r="C86" s="37"/>
      <c r="D86" s="37"/>
    </row>
    <row r="87" spans="3:4" ht="30" customHeight="1">
      <c r="C87" s="37"/>
      <c r="D87" s="37"/>
    </row>
    <row r="88" spans="3:4" ht="30" customHeight="1">
      <c r="C88" s="37"/>
      <c r="D88" s="37"/>
    </row>
    <row r="89" spans="3:4" ht="30" customHeight="1">
      <c r="C89" s="37"/>
      <c r="D89" s="37"/>
    </row>
    <row r="90" spans="3:4" ht="30" customHeight="1">
      <c r="C90" s="37"/>
      <c r="D90" s="37"/>
    </row>
    <row r="91" spans="3:4" ht="30" customHeight="1">
      <c r="C91" s="37"/>
      <c r="D91" s="37"/>
    </row>
    <row r="92" spans="3:4" ht="30" customHeight="1">
      <c r="C92" s="37"/>
      <c r="D92" s="37"/>
    </row>
    <row r="93" spans="3:4" ht="30" customHeight="1">
      <c r="C93" s="37"/>
      <c r="D93" s="37"/>
    </row>
    <row r="94" spans="3:4" ht="30" customHeight="1">
      <c r="C94" s="37"/>
      <c r="D94" s="37"/>
    </row>
    <row r="95" spans="3:4" ht="30" customHeight="1">
      <c r="C95" s="37"/>
      <c r="D95" s="37"/>
    </row>
    <row r="96" spans="3:4" ht="30" customHeight="1">
      <c r="C96" s="37"/>
      <c r="D96" s="37"/>
    </row>
    <row r="97" spans="3:4" ht="30" customHeight="1">
      <c r="C97" s="37"/>
      <c r="D97" s="37"/>
    </row>
    <row r="98" spans="3:4" ht="30" customHeight="1">
      <c r="C98" s="37"/>
      <c r="D98" s="37"/>
    </row>
    <row r="99" spans="3:4" ht="30" customHeight="1">
      <c r="C99" s="37"/>
      <c r="D99" s="37"/>
    </row>
    <row r="100" spans="3:4" ht="30" customHeight="1">
      <c r="C100" s="37"/>
      <c r="D100" s="37"/>
    </row>
    <row r="101" spans="3:4" ht="30" customHeight="1">
      <c r="C101" s="37"/>
      <c r="D101" s="37"/>
    </row>
    <row r="102" spans="3:4" ht="30" customHeight="1">
      <c r="C102" s="37"/>
      <c r="D102" s="37"/>
    </row>
    <row r="103" spans="3:4" ht="30" customHeight="1">
      <c r="C103" s="37"/>
      <c r="D103" s="37"/>
    </row>
    <row r="104" spans="3:4" ht="30" customHeight="1">
      <c r="C104" s="37"/>
      <c r="D104" s="37"/>
    </row>
    <row r="105" spans="3:4" ht="30" customHeight="1">
      <c r="C105" s="37"/>
      <c r="D105" s="37"/>
    </row>
    <row r="106" spans="3:4" ht="30" customHeight="1">
      <c r="C106" s="37"/>
      <c r="D106" s="37"/>
    </row>
    <row r="107" spans="3:4" ht="30" customHeight="1">
      <c r="C107" s="37"/>
      <c r="D107" s="37"/>
    </row>
    <row r="108" spans="3:4" ht="30" customHeight="1">
      <c r="C108" s="37"/>
      <c r="D108" s="37"/>
    </row>
    <row r="109" spans="3:4" ht="30" customHeight="1">
      <c r="C109" s="37"/>
      <c r="D109" s="37"/>
    </row>
    <row r="110" spans="3:4" ht="30" customHeight="1">
      <c r="C110" s="37"/>
      <c r="D110" s="37"/>
    </row>
    <row r="111" spans="3:4" ht="30" customHeight="1">
      <c r="C111" s="37"/>
      <c r="D111" s="37"/>
    </row>
    <row r="112" spans="3:4" ht="30" customHeight="1">
      <c r="C112" s="37"/>
      <c r="D112" s="37"/>
    </row>
    <row r="113" spans="3:4" ht="30" customHeight="1">
      <c r="C113" s="37"/>
      <c r="D113" s="37"/>
    </row>
    <row r="114" spans="3:4" ht="30" customHeight="1">
      <c r="C114" s="37"/>
      <c r="D114" s="37"/>
    </row>
    <row r="115" spans="3:4" ht="30" customHeight="1">
      <c r="C115" s="37"/>
      <c r="D115" s="37"/>
    </row>
    <row r="116" spans="3:4" ht="30" customHeight="1">
      <c r="C116" s="37"/>
      <c r="D116" s="37"/>
    </row>
    <row r="117" spans="3:4" ht="30" customHeight="1">
      <c r="C117" s="37"/>
      <c r="D117" s="37"/>
    </row>
    <row r="118" spans="3:4" ht="30" customHeight="1">
      <c r="C118" s="37"/>
      <c r="D118" s="37"/>
    </row>
    <row r="119" spans="3:4" ht="30" customHeight="1">
      <c r="C119" s="37"/>
      <c r="D119" s="37"/>
    </row>
    <row r="120" spans="3:4" ht="30" customHeight="1">
      <c r="C120" s="37"/>
      <c r="D120" s="37"/>
    </row>
    <row r="121" spans="3:4" ht="30" customHeight="1">
      <c r="C121" s="37"/>
      <c r="D121" s="37"/>
    </row>
    <row r="122" spans="3:4" ht="30" customHeight="1">
      <c r="C122" s="37"/>
      <c r="D122" s="37"/>
    </row>
    <row r="123" spans="3:4" ht="30" customHeight="1">
      <c r="C123" s="37"/>
      <c r="D123" s="37"/>
    </row>
    <row r="124" spans="3:4" ht="30" customHeight="1">
      <c r="C124" s="37"/>
      <c r="D124" s="37"/>
    </row>
    <row r="125" spans="3:4" ht="30" customHeight="1">
      <c r="C125" s="37"/>
      <c r="D125" s="37"/>
    </row>
    <row r="126" spans="3:4" ht="30" customHeight="1">
      <c r="C126" s="37"/>
      <c r="D126" s="37"/>
    </row>
    <row r="127" spans="3:4" ht="30" customHeight="1">
      <c r="C127" s="37"/>
      <c r="D127" s="37"/>
    </row>
    <row r="128" spans="3:4" ht="30" customHeight="1">
      <c r="C128" s="37"/>
      <c r="D128" s="37"/>
    </row>
    <row r="129" spans="3:4" ht="30" customHeight="1">
      <c r="C129" s="37"/>
      <c r="D129" s="37"/>
    </row>
    <row r="130" spans="3:4" ht="30" customHeight="1">
      <c r="C130" s="37"/>
      <c r="D130" s="37"/>
    </row>
    <row r="131" spans="3:4" ht="30" customHeight="1">
      <c r="C131" s="37"/>
      <c r="D131" s="37"/>
    </row>
    <row r="132" spans="3:4" ht="30" customHeight="1">
      <c r="C132" s="37"/>
      <c r="D132" s="37"/>
    </row>
    <row r="133" spans="3:4" ht="30" customHeight="1">
      <c r="C133" s="37"/>
      <c r="D133" s="37"/>
    </row>
    <row r="134" spans="3:4" ht="30" customHeight="1">
      <c r="C134" s="37"/>
      <c r="D134" s="37"/>
    </row>
    <row r="135" spans="3:4" ht="30" customHeight="1">
      <c r="C135" s="37"/>
      <c r="D135" s="37"/>
    </row>
    <row r="136" spans="3:4" ht="30" customHeight="1">
      <c r="C136" s="37"/>
      <c r="D136" s="37"/>
    </row>
    <row r="137" spans="3:4" ht="30" customHeight="1">
      <c r="C137" s="37"/>
      <c r="D137" s="37"/>
    </row>
    <row r="138" spans="3:4" ht="30" customHeight="1">
      <c r="C138" s="37"/>
      <c r="D138" s="37"/>
    </row>
  </sheetData>
  <sheetProtection/>
  <mergeCells count="10">
    <mergeCell ref="U6:W6"/>
    <mergeCell ref="B5:B7"/>
    <mergeCell ref="O4:P4"/>
    <mergeCell ref="Z4:AA4"/>
    <mergeCell ref="C5:G6"/>
    <mergeCell ref="H5:L6"/>
    <mergeCell ref="M5:P6"/>
    <mergeCell ref="Q5:T6"/>
    <mergeCell ref="X5:AA6"/>
    <mergeCell ref="U5:W5"/>
  </mergeCells>
  <printOptions horizontalCentered="1" verticalCentered="1"/>
  <pageMargins left="0.984251968503937" right="0.984251968503937" top="0.2755905511811024" bottom="0.4330708661417323" header="0.35433070866141736" footer="0.2755905511811024"/>
  <pageSetup fitToWidth="2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75"/>
  <sheetViews>
    <sheetView zoomScale="120" zoomScaleNormal="120" zoomScalePageLayoutView="0" workbookViewId="0" topLeftCell="A1">
      <pane xSplit="1" ySplit="6" topLeftCell="B1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68" sqref="M68"/>
    </sheetView>
  </sheetViews>
  <sheetFormatPr defaultColWidth="9.00390625" defaultRowHeight="24" customHeight="1"/>
  <cols>
    <col min="1" max="1" width="10.125" style="238" customWidth="1"/>
    <col min="2" max="2" width="12.25390625" style="238" customWidth="1"/>
    <col min="3" max="3" width="12.75390625" style="238" customWidth="1"/>
    <col min="4" max="4" width="11.875" style="238" customWidth="1"/>
    <col min="5" max="5" width="11.50390625" style="238" customWidth="1"/>
    <col min="6" max="6" width="7.00390625" style="238" customWidth="1"/>
    <col min="7" max="7" width="12.00390625" style="238" customWidth="1"/>
    <col min="8" max="8" width="8.875" style="238" customWidth="1"/>
    <col min="9" max="9" width="10.875" style="238" customWidth="1"/>
    <col min="10" max="10" width="10.75390625" style="238" bestFit="1" customWidth="1"/>
    <col min="11" max="11" width="11.375" style="238" bestFit="1" customWidth="1"/>
    <col min="12" max="12" width="12.25390625" style="238" bestFit="1" customWidth="1"/>
    <col min="13" max="13" width="8.125" style="238" bestFit="1" customWidth="1"/>
    <col min="14" max="14" width="12.25390625" style="238" bestFit="1" customWidth="1"/>
    <col min="15" max="15" width="10.875" style="238" customWidth="1"/>
    <col min="16" max="16" width="15.375" style="236" customWidth="1"/>
    <col min="17" max="17" width="10.00390625" style="236" customWidth="1"/>
    <col min="18" max="18" width="9.50390625" style="236" customWidth="1"/>
    <col min="19" max="19" width="9.00390625" style="236" customWidth="1"/>
    <col min="20" max="21" width="7.25390625" style="236" customWidth="1"/>
    <col min="22" max="22" width="9.25390625" style="236" customWidth="1"/>
    <col min="23" max="23" width="8.75390625" style="236" customWidth="1"/>
    <col min="24" max="24" width="8.375" style="236" customWidth="1"/>
    <col min="25" max="16384" width="9.00390625" style="236" customWidth="1"/>
  </cols>
  <sheetData>
    <row r="1" spans="1:16" ht="24" customHeight="1">
      <c r="A1" s="234"/>
      <c r="B1" s="234"/>
      <c r="C1" s="234"/>
      <c r="D1" s="234"/>
      <c r="E1" s="234"/>
      <c r="F1" s="234"/>
      <c r="G1" s="234"/>
      <c r="H1" s="234"/>
      <c r="I1" s="234"/>
      <c r="J1" s="234"/>
      <c r="K1" s="347"/>
      <c r="L1" s="349"/>
      <c r="M1" s="349"/>
      <c r="N1" s="349"/>
      <c r="O1" s="234"/>
      <c r="P1" s="235"/>
    </row>
    <row r="2" spans="1:24" ht="24" customHeight="1">
      <c r="A2" s="237" t="s">
        <v>18</v>
      </c>
      <c r="C2" s="239"/>
      <c r="D2" s="239"/>
      <c r="E2" s="335"/>
      <c r="F2" s="239"/>
      <c r="G2" s="239"/>
      <c r="H2" s="346"/>
      <c r="I2" s="239"/>
      <c r="J2" s="240"/>
      <c r="K2" s="348"/>
      <c r="L2" s="350"/>
      <c r="M2" s="350"/>
      <c r="N2" s="350"/>
      <c r="O2" s="240"/>
      <c r="P2" s="241"/>
      <c r="Q2" s="242"/>
      <c r="R2" s="242"/>
      <c r="S2" s="242"/>
      <c r="T2" s="242"/>
      <c r="U2" s="242"/>
      <c r="V2" s="242"/>
      <c r="W2" s="242"/>
      <c r="X2" s="242"/>
    </row>
    <row r="3" spans="1:27" ht="21" customHeight="1">
      <c r="A3" s="234"/>
      <c r="B3" s="243"/>
      <c r="C3" s="234"/>
      <c r="D3" s="234"/>
      <c r="E3" s="234"/>
      <c r="F3" s="234"/>
      <c r="G3" s="234"/>
      <c r="H3" s="234"/>
      <c r="I3" s="234"/>
      <c r="K3" s="236"/>
      <c r="L3" s="236"/>
      <c r="M3" s="236"/>
      <c r="O3" s="427" t="s">
        <v>184</v>
      </c>
      <c r="P3" s="427"/>
      <c r="Q3" s="244"/>
      <c r="R3" s="244"/>
      <c r="S3" s="244"/>
      <c r="T3" s="244"/>
      <c r="U3" s="244"/>
      <c r="W3" s="244"/>
      <c r="X3" s="244"/>
      <c r="Y3" s="245"/>
      <c r="Z3" s="245"/>
      <c r="AA3" s="244"/>
    </row>
    <row r="4" spans="1:16" ht="15.75" customHeight="1">
      <c r="A4" s="389" t="s">
        <v>68</v>
      </c>
      <c r="B4" s="424" t="s">
        <v>19</v>
      </c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6"/>
      <c r="P4" s="246" t="s">
        <v>20</v>
      </c>
    </row>
    <row r="5" spans="1:16" ht="15.75" customHeight="1">
      <c r="A5" s="422"/>
      <c r="B5" s="247" t="s">
        <v>21</v>
      </c>
      <c r="C5" s="248" t="s">
        <v>22</v>
      </c>
      <c r="D5" s="249"/>
      <c r="E5" s="249"/>
      <c r="F5" s="249"/>
      <c r="G5" s="249"/>
      <c r="H5" s="250"/>
      <c r="I5" s="251" t="s">
        <v>23</v>
      </c>
      <c r="J5" s="240"/>
      <c r="K5" s="240"/>
      <c r="L5" s="240"/>
      <c r="M5" s="240"/>
      <c r="N5" s="252" t="s">
        <v>97</v>
      </c>
      <c r="O5" s="253" t="s">
        <v>146</v>
      </c>
      <c r="P5" s="254" t="s">
        <v>21</v>
      </c>
    </row>
    <row r="6" spans="1:16" ht="31.5" customHeight="1">
      <c r="A6" s="423"/>
      <c r="B6" s="298" t="s">
        <v>202</v>
      </c>
      <c r="C6" s="255" t="s">
        <v>13</v>
      </c>
      <c r="D6" s="255" t="s">
        <v>25</v>
      </c>
      <c r="E6" s="255" t="s">
        <v>26</v>
      </c>
      <c r="F6" s="255" t="s">
        <v>60</v>
      </c>
      <c r="G6" s="256" t="s">
        <v>194</v>
      </c>
      <c r="H6" s="255" t="s">
        <v>27</v>
      </c>
      <c r="I6" s="255" t="s">
        <v>13</v>
      </c>
      <c r="J6" s="255" t="s">
        <v>28</v>
      </c>
      <c r="K6" s="255" t="s">
        <v>29</v>
      </c>
      <c r="L6" s="256" t="s">
        <v>195</v>
      </c>
      <c r="M6" s="255" t="s">
        <v>90</v>
      </c>
      <c r="N6" s="256" t="s">
        <v>145</v>
      </c>
      <c r="O6" s="299" t="s">
        <v>147</v>
      </c>
      <c r="P6" s="257" t="s">
        <v>24</v>
      </c>
    </row>
    <row r="7" spans="1:16" ht="16.5" customHeight="1">
      <c r="A7" s="167" t="s">
        <v>78</v>
      </c>
      <c r="B7" s="281">
        <f aca="true" t="shared" si="0" ref="B7:B16">C7-I7</f>
        <v>23432434</v>
      </c>
      <c r="C7" s="279">
        <f aca="true" t="shared" si="1" ref="C7:C16">SUM(D7:H7)</f>
        <v>47396081</v>
      </c>
      <c r="D7" s="279">
        <v>37959822</v>
      </c>
      <c r="E7" s="279">
        <v>9378693</v>
      </c>
      <c r="F7" s="279">
        <v>87</v>
      </c>
      <c r="G7" s="280">
        <v>0</v>
      </c>
      <c r="H7" s="279">
        <v>57479</v>
      </c>
      <c r="I7" s="279">
        <f aca="true" t="shared" si="2" ref="I7:I15">SUM(J7:M7)</f>
        <v>23963647</v>
      </c>
      <c r="J7" s="279">
        <v>10159348</v>
      </c>
      <c r="K7" s="279">
        <v>4835352</v>
      </c>
      <c r="L7" s="279">
        <v>8968947</v>
      </c>
      <c r="M7" s="280">
        <v>0</v>
      </c>
      <c r="N7" s="280">
        <v>0</v>
      </c>
      <c r="O7" s="280"/>
      <c r="P7" s="281">
        <v>187186382</v>
      </c>
    </row>
    <row r="8" spans="1:16" ht="16.5" customHeight="1">
      <c r="A8" s="167" t="s">
        <v>96</v>
      </c>
      <c r="B8" s="281">
        <f t="shared" si="0"/>
        <v>42808543</v>
      </c>
      <c r="C8" s="279">
        <f t="shared" si="1"/>
        <v>61853399</v>
      </c>
      <c r="D8" s="279">
        <v>38647555</v>
      </c>
      <c r="E8" s="279">
        <v>9734242</v>
      </c>
      <c r="F8" s="280">
        <v>0</v>
      </c>
      <c r="G8" s="279">
        <v>13429933</v>
      </c>
      <c r="H8" s="279">
        <v>41669</v>
      </c>
      <c r="I8" s="279">
        <f t="shared" si="2"/>
        <v>19044856</v>
      </c>
      <c r="J8" s="279">
        <v>12378551</v>
      </c>
      <c r="K8" s="279">
        <v>6389310</v>
      </c>
      <c r="L8" s="279">
        <v>276995</v>
      </c>
      <c r="M8" s="280">
        <v>0</v>
      </c>
      <c r="N8" s="280">
        <v>0</v>
      </c>
      <c r="O8" s="280"/>
      <c r="P8" s="281">
        <f>P7+B8+N8</f>
        <v>229994925</v>
      </c>
    </row>
    <row r="9" spans="1:16" s="169" customFormat="1" ht="16.5" customHeight="1">
      <c r="A9" s="167" t="s">
        <v>95</v>
      </c>
      <c r="B9" s="281">
        <f t="shared" si="0"/>
        <v>30187518</v>
      </c>
      <c r="C9" s="279">
        <f t="shared" si="1"/>
        <v>60310145</v>
      </c>
      <c r="D9" s="281">
        <v>42375675</v>
      </c>
      <c r="E9" s="281">
        <v>14321783</v>
      </c>
      <c r="F9" s="280">
        <v>0</v>
      </c>
      <c r="G9" s="281">
        <v>3546711</v>
      </c>
      <c r="H9" s="281">
        <v>65976</v>
      </c>
      <c r="I9" s="279">
        <f t="shared" si="2"/>
        <v>30122627</v>
      </c>
      <c r="J9" s="281">
        <v>17566518</v>
      </c>
      <c r="K9" s="281">
        <v>9896248</v>
      </c>
      <c r="L9" s="281">
        <v>2635185</v>
      </c>
      <c r="M9" s="281">
        <v>24676</v>
      </c>
      <c r="N9" s="280">
        <v>0</v>
      </c>
      <c r="O9" s="280"/>
      <c r="P9" s="281">
        <f>P8+B9+N9</f>
        <v>260182443</v>
      </c>
    </row>
    <row r="10" spans="1:16" s="169" customFormat="1" ht="16.5" customHeight="1">
      <c r="A10" s="167" t="s">
        <v>93</v>
      </c>
      <c r="B10" s="281">
        <f t="shared" si="0"/>
        <v>38606346</v>
      </c>
      <c r="C10" s="279">
        <f t="shared" si="1"/>
        <v>99052589</v>
      </c>
      <c r="D10" s="281">
        <v>47831121</v>
      </c>
      <c r="E10" s="281">
        <v>20235535</v>
      </c>
      <c r="F10" s="281">
        <v>44</v>
      </c>
      <c r="G10" s="281">
        <v>30899071</v>
      </c>
      <c r="H10" s="281">
        <v>86818</v>
      </c>
      <c r="I10" s="279">
        <f t="shared" si="2"/>
        <v>60446243</v>
      </c>
      <c r="J10" s="281">
        <v>19582317</v>
      </c>
      <c r="K10" s="281">
        <v>40409087</v>
      </c>
      <c r="L10" s="281">
        <v>419853</v>
      </c>
      <c r="M10" s="281">
        <v>34986</v>
      </c>
      <c r="N10" s="280">
        <v>0</v>
      </c>
      <c r="O10" s="281"/>
      <c r="P10" s="281">
        <f>P9+B10+N10</f>
        <v>298788789</v>
      </c>
    </row>
    <row r="11" spans="1:16" s="169" customFormat="1" ht="16.5" customHeight="1">
      <c r="A11" s="167" t="s">
        <v>136</v>
      </c>
      <c r="B11" s="281">
        <f t="shared" si="0"/>
        <v>58396965</v>
      </c>
      <c r="C11" s="279">
        <f t="shared" si="1"/>
        <v>98532212</v>
      </c>
      <c r="D11" s="281">
        <f>53007400+1</f>
        <v>53007401</v>
      </c>
      <c r="E11" s="281">
        <v>29633544</v>
      </c>
      <c r="F11" s="280">
        <v>0</v>
      </c>
      <c r="G11" s="281">
        <v>10383004</v>
      </c>
      <c r="H11" s="281">
        <v>5508263</v>
      </c>
      <c r="I11" s="279">
        <f t="shared" si="2"/>
        <v>40135247</v>
      </c>
      <c r="J11" s="281">
        <v>23420407</v>
      </c>
      <c r="K11" s="281">
        <v>10797843</v>
      </c>
      <c r="L11" s="281">
        <v>5874991</v>
      </c>
      <c r="M11" s="281">
        <v>42006</v>
      </c>
      <c r="N11" s="281">
        <v>5909997</v>
      </c>
      <c r="O11" s="281"/>
      <c r="P11" s="281">
        <f>P10+B11+N11</f>
        <v>363095751</v>
      </c>
    </row>
    <row r="12" spans="1:16" ht="16.5" customHeight="1">
      <c r="A12" s="167" t="s">
        <v>138</v>
      </c>
      <c r="B12" s="281">
        <f t="shared" si="0"/>
        <v>49318661</v>
      </c>
      <c r="C12" s="281">
        <f t="shared" si="1"/>
        <v>121338181</v>
      </c>
      <c r="D12" s="281">
        <v>53392129</v>
      </c>
      <c r="E12" s="281">
        <v>36624920</v>
      </c>
      <c r="F12" s="281">
        <v>65</v>
      </c>
      <c r="G12" s="281">
        <v>31215108</v>
      </c>
      <c r="H12" s="281">
        <v>105959</v>
      </c>
      <c r="I12" s="281">
        <f t="shared" si="2"/>
        <v>72019520</v>
      </c>
      <c r="J12" s="281">
        <v>25548453</v>
      </c>
      <c r="K12" s="281">
        <v>9825700</v>
      </c>
      <c r="L12" s="281">
        <v>36518309</v>
      </c>
      <c r="M12" s="281">
        <v>127058</v>
      </c>
      <c r="N12" s="281">
        <v>-2975597</v>
      </c>
      <c r="O12" s="281"/>
      <c r="P12" s="281">
        <f>P11+B12+N12</f>
        <v>409438815</v>
      </c>
    </row>
    <row r="13" spans="1:16" ht="16.5" customHeight="1">
      <c r="A13" s="167" t="s">
        <v>139</v>
      </c>
      <c r="B13" s="282">
        <f t="shared" si="0"/>
        <v>-42633252</v>
      </c>
      <c r="C13" s="281">
        <f t="shared" si="1"/>
        <v>124820105</v>
      </c>
      <c r="D13" s="283">
        <v>54472276</v>
      </c>
      <c r="E13" s="283">
        <v>22647728</v>
      </c>
      <c r="F13" s="284">
        <v>0</v>
      </c>
      <c r="G13" s="283">
        <v>47631858</v>
      </c>
      <c r="H13" s="283">
        <v>68243</v>
      </c>
      <c r="I13" s="283">
        <f t="shared" si="2"/>
        <v>167453357</v>
      </c>
      <c r="J13" s="283">
        <v>28329014</v>
      </c>
      <c r="K13" s="283">
        <f>26632314-1</f>
        <v>26632313</v>
      </c>
      <c r="L13" s="283">
        <v>112253483</v>
      </c>
      <c r="M13" s="283">
        <v>238547</v>
      </c>
      <c r="N13" s="283">
        <v>-17269315</v>
      </c>
      <c r="O13" s="283">
        <v>166947</v>
      </c>
      <c r="P13" s="281">
        <f>P12+B13+N13+O13</f>
        <v>349703195</v>
      </c>
    </row>
    <row r="14" spans="1:16" s="169" customFormat="1" ht="16.5" customHeight="1">
      <c r="A14" s="167" t="s">
        <v>144</v>
      </c>
      <c r="B14" s="282">
        <f t="shared" si="0"/>
        <v>89978203</v>
      </c>
      <c r="C14" s="281">
        <f t="shared" si="1"/>
        <v>148454387</v>
      </c>
      <c r="D14" s="285">
        <v>55422063</v>
      </c>
      <c r="E14" s="286">
        <v>25937159</v>
      </c>
      <c r="F14" s="287">
        <v>0</v>
      </c>
      <c r="G14" s="286">
        <v>67061353</v>
      </c>
      <c r="H14" s="286">
        <v>33812</v>
      </c>
      <c r="I14" s="283">
        <f t="shared" si="2"/>
        <v>58476184</v>
      </c>
      <c r="J14" s="285">
        <v>30669240</v>
      </c>
      <c r="K14" s="286">
        <v>18635732</v>
      </c>
      <c r="L14" s="286">
        <v>9045588</v>
      </c>
      <c r="M14" s="286">
        <v>125624</v>
      </c>
      <c r="N14" s="286">
        <v>11070468</v>
      </c>
      <c r="O14" s="286">
        <v>1757525</v>
      </c>
      <c r="P14" s="281">
        <f>P13+B14+N14+O14</f>
        <v>452509391</v>
      </c>
    </row>
    <row r="15" spans="1:16" ht="16.5" customHeight="1">
      <c r="A15" s="167" t="s">
        <v>159</v>
      </c>
      <c r="B15" s="285">
        <f t="shared" si="0"/>
        <v>35836050</v>
      </c>
      <c r="C15" s="285">
        <f t="shared" si="1"/>
        <v>103803789</v>
      </c>
      <c r="D15" s="285">
        <v>56805038</v>
      </c>
      <c r="E15" s="286">
        <v>27645004</v>
      </c>
      <c r="F15" s="287">
        <v>0</v>
      </c>
      <c r="G15" s="286">
        <v>19227794</v>
      </c>
      <c r="H15" s="286">
        <v>125953</v>
      </c>
      <c r="I15" s="286">
        <f t="shared" si="2"/>
        <v>67967739</v>
      </c>
      <c r="J15" s="285">
        <v>35544167</v>
      </c>
      <c r="K15" s="286">
        <v>12974577</v>
      </c>
      <c r="L15" s="286">
        <v>19350860</v>
      </c>
      <c r="M15" s="286">
        <v>98135</v>
      </c>
      <c r="N15" s="286">
        <v>1471991</v>
      </c>
      <c r="O15" s="286">
        <f>2957271-167000</f>
        <v>2790271</v>
      </c>
      <c r="P15" s="281">
        <f>P14+B15+N15+2957271</f>
        <v>492774703</v>
      </c>
    </row>
    <row r="16" spans="1:16" ht="16.5" customHeight="1">
      <c r="A16" s="269" t="s">
        <v>164</v>
      </c>
      <c r="B16" s="285">
        <f t="shared" si="0"/>
        <v>-7922164</v>
      </c>
      <c r="C16" s="285">
        <f t="shared" si="1"/>
        <v>103907395</v>
      </c>
      <c r="D16" s="285">
        <f>SUM(D17:D28)</f>
        <v>57675440</v>
      </c>
      <c r="E16" s="286">
        <f>SUM(E17:E28)</f>
        <v>30143712</v>
      </c>
      <c r="F16" s="287">
        <v>0</v>
      </c>
      <c r="G16" s="286">
        <f aca="true" t="shared" si="3" ref="G16:N16">SUM(G17:G28)</f>
        <v>16053544</v>
      </c>
      <c r="H16" s="286">
        <f t="shared" si="3"/>
        <v>34699</v>
      </c>
      <c r="I16" s="285">
        <f t="shared" si="3"/>
        <v>111829559</v>
      </c>
      <c r="J16" s="285">
        <f t="shared" si="3"/>
        <v>42601731</v>
      </c>
      <c r="K16" s="286">
        <f t="shared" si="3"/>
        <v>22958094</v>
      </c>
      <c r="L16" s="286">
        <f t="shared" si="3"/>
        <v>46160297</v>
      </c>
      <c r="M16" s="286">
        <f t="shared" si="3"/>
        <v>109437</v>
      </c>
      <c r="N16" s="286">
        <f t="shared" si="3"/>
        <v>-5422698</v>
      </c>
      <c r="O16" s="286">
        <v>-167000</v>
      </c>
      <c r="P16" s="281">
        <f>P15+B16+N16</f>
        <v>479429841</v>
      </c>
    </row>
    <row r="17" spans="1:16" ht="15.75" hidden="1">
      <c r="A17" s="258" t="s">
        <v>163</v>
      </c>
      <c r="B17" s="285">
        <f aca="true" t="shared" si="4" ref="B17:B28">C17-I17</f>
        <v>-10946488</v>
      </c>
      <c r="C17" s="288">
        <f aca="true" t="shared" si="5" ref="C17:C35">SUM(D17:H17)</f>
        <v>10457056</v>
      </c>
      <c r="D17" s="288">
        <v>4970971</v>
      </c>
      <c r="E17" s="289">
        <v>2303448</v>
      </c>
      <c r="F17" s="290">
        <v>0</v>
      </c>
      <c r="G17" s="289">
        <v>3177433</v>
      </c>
      <c r="H17" s="289">
        <v>5204</v>
      </c>
      <c r="I17" s="289">
        <f aca="true" t="shared" si="6" ref="I17:I35">SUM(J17:M17)</f>
        <v>21403544</v>
      </c>
      <c r="J17" s="288">
        <v>17360013</v>
      </c>
      <c r="K17" s="289">
        <v>582419</v>
      </c>
      <c r="L17" s="289">
        <v>3457335</v>
      </c>
      <c r="M17" s="289">
        <v>3777</v>
      </c>
      <c r="N17" s="289">
        <v>-172369</v>
      </c>
      <c r="O17" s="289">
        <v>-167000</v>
      </c>
      <c r="P17" s="288">
        <f>P15+B17+O17+N17-O17</f>
        <v>481655846</v>
      </c>
    </row>
    <row r="18" spans="1:16" ht="15.75" hidden="1">
      <c r="A18" s="258" t="s">
        <v>165</v>
      </c>
      <c r="B18" s="285">
        <f t="shared" si="4"/>
        <v>3309497</v>
      </c>
      <c r="C18" s="288">
        <f t="shared" si="5"/>
        <v>10475882</v>
      </c>
      <c r="D18" s="288">
        <v>4450183</v>
      </c>
      <c r="E18" s="289">
        <v>2204252</v>
      </c>
      <c r="F18" s="290">
        <v>0</v>
      </c>
      <c r="G18" s="289">
        <v>3816807</v>
      </c>
      <c r="H18" s="289">
        <v>4640</v>
      </c>
      <c r="I18" s="289">
        <f t="shared" si="6"/>
        <v>7166385</v>
      </c>
      <c r="J18" s="288">
        <v>574433</v>
      </c>
      <c r="K18" s="289">
        <v>824200</v>
      </c>
      <c r="L18" s="289">
        <v>5763471</v>
      </c>
      <c r="M18" s="289">
        <v>4281</v>
      </c>
      <c r="N18" s="289">
        <v>-652706</v>
      </c>
      <c r="O18" s="290">
        <v>0</v>
      </c>
      <c r="P18" s="288">
        <f aca="true" t="shared" si="7" ref="P18:P23">P17+B18+O18+N18</f>
        <v>484312637</v>
      </c>
    </row>
    <row r="19" spans="1:16" ht="15.75" hidden="1">
      <c r="A19" s="258" t="s">
        <v>166</v>
      </c>
      <c r="B19" s="285">
        <f t="shared" si="4"/>
        <v>4726169</v>
      </c>
      <c r="C19" s="288">
        <f t="shared" si="5"/>
        <v>7405092</v>
      </c>
      <c r="D19" s="288">
        <v>4824967</v>
      </c>
      <c r="E19" s="289">
        <v>3204793</v>
      </c>
      <c r="F19" s="290">
        <v>0</v>
      </c>
      <c r="G19" s="289">
        <v>-628767</v>
      </c>
      <c r="H19" s="289">
        <v>4099</v>
      </c>
      <c r="I19" s="289">
        <f t="shared" si="6"/>
        <v>2678923</v>
      </c>
      <c r="J19" s="288">
        <v>607656</v>
      </c>
      <c r="K19" s="289">
        <v>1827589</v>
      </c>
      <c r="L19" s="289">
        <v>231887</v>
      </c>
      <c r="M19" s="289">
        <v>11791</v>
      </c>
      <c r="N19" s="289">
        <v>103231</v>
      </c>
      <c r="O19" s="290">
        <v>0</v>
      </c>
      <c r="P19" s="288">
        <f t="shared" si="7"/>
        <v>489142037</v>
      </c>
    </row>
    <row r="20" spans="1:16" ht="15.75" hidden="1">
      <c r="A20" s="258" t="s">
        <v>167</v>
      </c>
      <c r="B20" s="285">
        <f t="shared" si="4"/>
        <v>9757311</v>
      </c>
      <c r="C20" s="288">
        <f t="shared" si="5"/>
        <v>12484681</v>
      </c>
      <c r="D20" s="288">
        <v>4694123</v>
      </c>
      <c r="E20" s="289">
        <v>2236840</v>
      </c>
      <c r="F20" s="290">
        <v>0</v>
      </c>
      <c r="G20" s="289">
        <v>5553998</v>
      </c>
      <c r="H20" s="289">
        <v>-280</v>
      </c>
      <c r="I20" s="289">
        <f t="shared" si="6"/>
        <v>2727370</v>
      </c>
      <c r="J20" s="288">
        <v>357454</v>
      </c>
      <c r="K20" s="289">
        <v>1202988</v>
      </c>
      <c r="L20" s="289">
        <v>1151642</v>
      </c>
      <c r="M20" s="289">
        <v>15286</v>
      </c>
      <c r="N20" s="289">
        <v>482973</v>
      </c>
      <c r="O20" s="290">
        <v>0</v>
      </c>
      <c r="P20" s="288">
        <f t="shared" si="7"/>
        <v>499382321</v>
      </c>
    </row>
    <row r="21" spans="1:16" ht="15.75" hidden="1">
      <c r="A21" s="258" t="s">
        <v>169</v>
      </c>
      <c r="B21" s="285">
        <f t="shared" si="4"/>
        <v>3867364</v>
      </c>
      <c r="C21" s="288">
        <f t="shared" si="5"/>
        <v>4504580</v>
      </c>
      <c r="D21" s="288">
        <v>4791629</v>
      </c>
      <c r="E21" s="289">
        <v>2260187</v>
      </c>
      <c r="F21" s="290">
        <v>0</v>
      </c>
      <c r="G21" s="289">
        <v>-2550430</v>
      </c>
      <c r="H21" s="289">
        <v>3194</v>
      </c>
      <c r="I21" s="289">
        <f t="shared" si="6"/>
        <v>637216</v>
      </c>
      <c r="J21" s="288">
        <v>220238</v>
      </c>
      <c r="K21" s="289">
        <v>1306278</v>
      </c>
      <c r="L21" s="289">
        <v>-921035</v>
      </c>
      <c r="M21" s="289">
        <v>31735</v>
      </c>
      <c r="N21" s="289">
        <v>-254728</v>
      </c>
      <c r="O21" s="290">
        <v>0</v>
      </c>
      <c r="P21" s="288">
        <f t="shared" si="7"/>
        <v>502994957</v>
      </c>
    </row>
    <row r="22" spans="1:16" ht="15.75" hidden="1">
      <c r="A22" s="258" t="s">
        <v>170</v>
      </c>
      <c r="B22" s="285">
        <f t="shared" si="4"/>
        <v>-1876269</v>
      </c>
      <c r="C22" s="288">
        <f t="shared" si="5"/>
        <v>3846650</v>
      </c>
      <c r="D22" s="288">
        <v>4749168</v>
      </c>
      <c r="E22" s="289">
        <v>2658033</v>
      </c>
      <c r="F22" s="290">
        <v>0</v>
      </c>
      <c r="G22" s="289">
        <v>-3563033</v>
      </c>
      <c r="H22" s="289">
        <v>2482</v>
      </c>
      <c r="I22" s="289">
        <f t="shared" si="6"/>
        <v>5722919</v>
      </c>
      <c r="J22" s="288">
        <v>354584</v>
      </c>
      <c r="K22" s="289">
        <v>559628</v>
      </c>
      <c r="L22" s="289">
        <v>4800584</v>
      </c>
      <c r="M22" s="289">
        <v>8123</v>
      </c>
      <c r="N22" s="289">
        <v>-781480</v>
      </c>
      <c r="O22" s="290">
        <v>0</v>
      </c>
      <c r="P22" s="288">
        <f t="shared" si="7"/>
        <v>500337208</v>
      </c>
    </row>
    <row r="23" spans="1:16" ht="15.75" hidden="1">
      <c r="A23" s="258" t="s">
        <v>171</v>
      </c>
      <c r="B23" s="285">
        <f t="shared" si="4"/>
        <v>-11402836</v>
      </c>
      <c r="C23" s="288">
        <f t="shared" si="5"/>
        <v>11382563</v>
      </c>
      <c r="D23" s="288">
        <v>4770684</v>
      </c>
      <c r="E23" s="289">
        <v>5209589</v>
      </c>
      <c r="F23" s="290">
        <v>0</v>
      </c>
      <c r="G23" s="289">
        <v>1400017</v>
      </c>
      <c r="H23" s="289">
        <v>2273</v>
      </c>
      <c r="I23" s="289">
        <f t="shared" si="6"/>
        <v>22785399</v>
      </c>
      <c r="J23" s="288">
        <v>19744817</v>
      </c>
      <c r="K23" s="289">
        <v>1612674</v>
      </c>
      <c r="L23" s="289">
        <v>1426586</v>
      </c>
      <c r="M23" s="289">
        <v>1322</v>
      </c>
      <c r="N23" s="289">
        <v>251312</v>
      </c>
      <c r="O23" s="290">
        <v>0</v>
      </c>
      <c r="P23" s="288">
        <f t="shared" si="7"/>
        <v>489185684</v>
      </c>
    </row>
    <row r="24" spans="1:16" ht="15.75" hidden="1">
      <c r="A24" s="258" t="s">
        <v>172</v>
      </c>
      <c r="B24" s="285">
        <f t="shared" si="4"/>
        <v>-13718258</v>
      </c>
      <c r="C24" s="288">
        <f t="shared" si="5"/>
        <v>8570595</v>
      </c>
      <c r="D24" s="288">
        <v>4888467</v>
      </c>
      <c r="E24" s="289">
        <v>3526311</v>
      </c>
      <c r="F24" s="290">
        <v>0</v>
      </c>
      <c r="G24" s="289">
        <v>154486</v>
      </c>
      <c r="H24" s="289">
        <v>1331</v>
      </c>
      <c r="I24" s="289">
        <f t="shared" si="6"/>
        <v>22288853</v>
      </c>
      <c r="J24" s="288">
        <v>1445769</v>
      </c>
      <c r="K24" s="289">
        <v>4736099</v>
      </c>
      <c r="L24" s="289">
        <v>16080071</v>
      </c>
      <c r="M24" s="289">
        <v>26914</v>
      </c>
      <c r="N24" s="289">
        <v>-2350863</v>
      </c>
      <c r="O24" s="290">
        <v>0</v>
      </c>
      <c r="P24" s="288">
        <f>P23+B24+O24+N24</f>
        <v>473116563</v>
      </c>
    </row>
    <row r="25" spans="1:16" ht="15.75" hidden="1">
      <c r="A25" s="258" t="s">
        <v>173</v>
      </c>
      <c r="B25" s="285">
        <f t="shared" si="4"/>
        <v>-9096184</v>
      </c>
      <c r="C25" s="288">
        <f t="shared" si="5"/>
        <v>12172173</v>
      </c>
      <c r="D25" s="288">
        <v>4886962</v>
      </c>
      <c r="E25" s="289">
        <v>1843184</v>
      </c>
      <c r="F25" s="290">
        <v>0</v>
      </c>
      <c r="G25" s="289">
        <v>5440469</v>
      </c>
      <c r="H25" s="289">
        <v>1558</v>
      </c>
      <c r="I25" s="289">
        <f t="shared" si="6"/>
        <v>21268357</v>
      </c>
      <c r="J25" s="288">
        <v>584983</v>
      </c>
      <c r="K25" s="289">
        <v>4125251</v>
      </c>
      <c r="L25" s="289">
        <v>16554289</v>
      </c>
      <c r="M25" s="289">
        <v>3834</v>
      </c>
      <c r="N25" s="289">
        <v>-1732077</v>
      </c>
      <c r="O25" s="290">
        <v>0</v>
      </c>
      <c r="P25" s="288">
        <f>P24+B25+O25+N25</f>
        <v>462288302</v>
      </c>
    </row>
    <row r="26" spans="1:16" ht="15.75" hidden="1">
      <c r="A26" s="258" t="s">
        <v>175</v>
      </c>
      <c r="B26" s="285">
        <f t="shared" si="4"/>
        <v>16796822</v>
      </c>
      <c r="C26" s="288">
        <f t="shared" si="5"/>
        <v>7328601</v>
      </c>
      <c r="D26" s="288">
        <v>4855880</v>
      </c>
      <c r="E26" s="289">
        <v>1353767</v>
      </c>
      <c r="F26" s="290">
        <v>0</v>
      </c>
      <c r="G26" s="289">
        <v>1115261</v>
      </c>
      <c r="H26" s="289">
        <v>3693</v>
      </c>
      <c r="I26" s="289">
        <f t="shared" si="6"/>
        <v>-9468221</v>
      </c>
      <c r="J26" s="288">
        <v>429138</v>
      </c>
      <c r="K26" s="289">
        <v>2421905</v>
      </c>
      <c r="L26" s="309">
        <v>-12319451</v>
      </c>
      <c r="M26" s="289">
        <v>187</v>
      </c>
      <c r="N26" s="289">
        <v>1379629</v>
      </c>
      <c r="O26" s="290">
        <v>0</v>
      </c>
      <c r="P26" s="288">
        <f>P25+B26+O26+N26</f>
        <v>480464753</v>
      </c>
    </row>
    <row r="27" spans="1:16" ht="15.75" hidden="1">
      <c r="A27" s="258" t="s">
        <v>176</v>
      </c>
      <c r="B27" s="285">
        <f t="shared" si="4"/>
        <v>-6101791</v>
      </c>
      <c r="C27" s="288">
        <f t="shared" si="5"/>
        <v>8997243</v>
      </c>
      <c r="D27" s="288">
        <v>4907836</v>
      </c>
      <c r="E27" s="289">
        <v>2208223</v>
      </c>
      <c r="F27" s="290">
        <v>0</v>
      </c>
      <c r="G27" s="289">
        <v>1877546</v>
      </c>
      <c r="H27" s="289">
        <v>3638</v>
      </c>
      <c r="I27" s="289">
        <f t="shared" si="6"/>
        <v>15099034</v>
      </c>
      <c r="J27" s="288">
        <v>385756</v>
      </c>
      <c r="K27" s="289">
        <v>2910986</v>
      </c>
      <c r="L27" s="289">
        <v>11800278</v>
      </c>
      <c r="M27" s="289">
        <v>2014</v>
      </c>
      <c r="N27" s="289">
        <v>-1771763</v>
      </c>
      <c r="O27" s="290">
        <v>0</v>
      </c>
      <c r="P27" s="288">
        <f>P26+B27+O27+N27</f>
        <v>472591199</v>
      </c>
    </row>
    <row r="28" spans="1:16" ht="15.75" hidden="1">
      <c r="A28" s="258" t="s">
        <v>178</v>
      </c>
      <c r="B28" s="285">
        <f t="shared" si="4"/>
        <v>6762499</v>
      </c>
      <c r="C28" s="288">
        <f t="shared" si="5"/>
        <v>6282279</v>
      </c>
      <c r="D28" s="288">
        <v>4884570</v>
      </c>
      <c r="E28" s="289">
        <v>1135085</v>
      </c>
      <c r="F28" s="290">
        <v>0</v>
      </c>
      <c r="G28" s="289">
        <v>259757</v>
      </c>
      <c r="H28" s="289">
        <v>2867</v>
      </c>
      <c r="I28" s="289">
        <f t="shared" si="6"/>
        <v>-480220</v>
      </c>
      <c r="J28" s="288">
        <v>536890</v>
      </c>
      <c r="K28" s="289">
        <v>848077</v>
      </c>
      <c r="L28" s="289">
        <v>-1865360</v>
      </c>
      <c r="M28" s="289">
        <v>173</v>
      </c>
      <c r="N28" s="289">
        <v>76143</v>
      </c>
      <c r="O28" s="290">
        <v>0</v>
      </c>
      <c r="P28" s="288">
        <f>P27+B28+O28+N28</f>
        <v>479429841</v>
      </c>
    </row>
    <row r="29" spans="1:16" ht="16.5" customHeight="1">
      <c r="A29" s="269" t="s">
        <v>180</v>
      </c>
      <c r="B29" s="285">
        <f aca="true" t="shared" si="8" ref="B29:B34">C29-I29</f>
        <v>35555455.776999995</v>
      </c>
      <c r="C29" s="286">
        <f>SUM(D29:H29)</f>
        <v>114288153.777</v>
      </c>
      <c r="D29" s="286">
        <f>59046402</f>
        <v>59046402</v>
      </c>
      <c r="E29" s="286">
        <f>27311362</f>
        <v>27311362</v>
      </c>
      <c r="F29" s="290">
        <v>0</v>
      </c>
      <c r="G29" s="286">
        <f>SUM(G30:G41)</f>
        <v>27904362.777</v>
      </c>
      <c r="H29" s="286">
        <f>26027</f>
        <v>26027</v>
      </c>
      <c r="I29" s="286">
        <f>SUM(J29:M29)</f>
        <v>78732698</v>
      </c>
      <c r="J29" s="286">
        <v>50147619</v>
      </c>
      <c r="K29" s="286">
        <v>16065976</v>
      </c>
      <c r="L29" s="286">
        <v>12512780</v>
      </c>
      <c r="M29" s="286">
        <v>6323</v>
      </c>
      <c r="N29" s="286">
        <v>3156074.108</v>
      </c>
      <c r="O29" s="286">
        <f>SUM(O30:O41)</f>
        <v>-167000</v>
      </c>
      <c r="P29" s="285">
        <f>P16+B29+N29</f>
        <v>518141370.885</v>
      </c>
    </row>
    <row r="30" spans="1:16" ht="16.5" customHeight="1" hidden="1">
      <c r="A30" s="258" t="s">
        <v>179</v>
      </c>
      <c r="B30" s="288">
        <f t="shared" si="8"/>
        <v>-3829188</v>
      </c>
      <c r="C30" s="288">
        <f t="shared" si="5"/>
        <v>21850021</v>
      </c>
      <c r="D30" s="288">
        <v>4767912</v>
      </c>
      <c r="E30" s="289">
        <v>1112371</v>
      </c>
      <c r="F30" s="290">
        <v>0</v>
      </c>
      <c r="G30" s="289">
        <v>15968651</v>
      </c>
      <c r="H30" s="289">
        <v>1087</v>
      </c>
      <c r="I30" s="289">
        <f t="shared" si="6"/>
        <v>25679209</v>
      </c>
      <c r="J30" s="288">
        <v>20938193</v>
      </c>
      <c r="K30" s="289">
        <v>1784063</v>
      </c>
      <c r="L30" s="289">
        <v>2956713</v>
      </c>
      <c r="M30" s="289">
        <v>240</v>
      </c>
      <c r="N30" s="289">
        <v>1731285</v>
      </c>
      <c r="O30" s="289">
        <v>-167000</v>
      </c>
      <c r="P30" s="288">
        <f>P16+B30+O30+N30-O30</f>
        <v>477331938</v>
      </c>
    </row>
    <row r="31" spans="1:16" ht="16.5" customHeight="1" hidden="1">
      <c r="A31" s="258" t="s">
        <v>183</v>
      </c>
      <c r="B31" s="288">
        <f t="shared" si="8"/>
        <v>18237731</v>
      </c>
      <c r="C31" s="288">
        <f t="shared" si="5"/>
        <v>21005213</v>
      </c>
      <c r="D31" s="288">
        <v>4891048</v>
      </c>
      <c r="E31" s="289">
        <v>3491892</v>
      </c>
      <c r="F31" s="289">
        <v>2126</v>
      </c>
      <c r="G31" s="289">
        <v>12618691</v>
      </c>
      <c r="H31" s="289">
        <v>1456</v>
      </c>
      <c r="I31" s="289">
        <f t="shared" si="6"/>
        <v>2767482</v>
      </c>
      <c r="J31" s="288">
        <v>727377</v>
      </c>
      <c r="K31" s="289">
        <v>1319672</v>
      </c>
      <c r="L31" s="289">
        <v>720346</v>
      </c>
      <c r="M31" s="289">
        <v>87</v>
      </c>
      <c r="N31" s="289">
        <v>1149898</v>
      </c>
      <c r="O31" s="290">
        <v>0</v>
      </c>
      <c r="P31" s="288">
        <f>P30+B31+O31+N31</f>
        <v>496719567</v>
      </c>
    </row>
    <row r="32" spans="1:16" ht="16.5" customHeight="1" hidden="1">
      <c r="A32" s="258" t="s">
        <v>186</v>
      </c>
      <c r="B32" s="288">
        <f t="shared" si="8"/>
        <v>719954</v>
      </c>
      <c r="C32" s="288">
        <f t="shared" si="5"/>
        <v>2987223</v>
      </c>
      <c r="D32" s="288">
        <v>4920597</v>
      </c>
      <c r="E32" s="289">
        <v>2934011</v>
      </c>
      <c r="F32" s="290">
        <v>0</v>
      </c>
      <c r="G32" s="289">
        <v>-4868779</v>
      </c>
      <c r="H32" s="289">
        <v>1394</v>
      </c>
      <c r="I32" s="289">
        <f t="shared" si="6"/>
        <v>2267269</v>
      </c>
      <c r="J32" s="288">
        <v>632080</v>
      </c>
      <c r="K32" s="289">
        <v>1312277</v>
      </c>
      <c r="L32" s="289">
        <v>322559</v>
      </c>
      <c r="M32" s="289">
        <v>353</v>
      </c>
      <c r="N32" s="289">
        <v>-518920</v>
      </c>
      <c r="O32" s="290">
        <v>0</v>
      </c>
      <c r="P32" s="288">
        <f>P31+B32+O32+N32</f>
        <v>496920601</v>
      </c>
    </row>
    <row r="33" spans="1:16" ht="16.5" customHeight="1" hidden="1">
      <c r="A33" s="258" t="s">
        <v>187</v>
      </c>
      <c r="B33" s="288">
        <f t="shared" si="8"/>
        <v>-4566831</v>
      </c>
      <c r="C33" s="288">
        <f t="shared" si="5"/>
        <v>-628237</v>
      </c>
      <c r="D33" s="288">
        <v>4827509</v>
      </c>
      <c r="E33" s="289">
        <v>1517165</v>
      </c>
      <c r="F33" s="290">
        <v>0</v>
      </c>
      <c r="G33" s="289">
        <v>-6974815</v>
      </c>
      <c r="H33" s="289">
        <v>1904</v>
      </c>
      <c r="I33" s="289">
        <f t="shared" si="6"/>
        <v>3938594</v>
      </c>
      <c r="J33" s="288">
        <v>339776</v>
      </c>
      <c r="K33" s="289">
        <v>1245672</v>
      </c>
      <c r="L33" s="289">
        <v>2352548</v>
      </c>
      <c r="M33" s="289">
        <v>598</v>
      </c>
      <c r="N33" s="289">
        <v>-556937</v>
      </c>
      <c r="O33" s="290">
        <v>0</v>
      </c>
      <c r="P33" s="288">
        <f>P32+B33+O33+N33</f>
        <v>491796833</v>
      </c>
    </row>
    <row r="34" spans="1:16" ht="16.5" customHeight="1" hidden="1">
      <c r="A34" s="258" t="s">
        <v>188</v>
      </c>
      <c r="B34" s="288">
        <f t="shared" si="8"/>
        <v>-4406791</v>
      </c>
      <c r="C34" s="288">
        <f t="shared" si="5"/>
        <v>56784</v>
      </c>
      <c r="D34" s="288">
        <v>4908593</v>
      </c>
      <c r="E34" s="289">
        <v>2720169</v>
      </c>
      <c r="F34" s="289">
        <v>-1427</v>
      </c>
      <c r="G34" s="289">
        <v>-7571853</v>
      </c>
      <c r="H34" s="289">
        <v>1302</v>
      </c>
      <c r="I34" s="289">
        <f t="shared" si="6"/>
        <v>4463575</v>
      </c>
      <c r="J34" s="288">
        <v>325115</v>
      </c>
      <c r="K34" s="289">
        <v>2967223</v>
      </c>
      <c r="L34" s="289">
        <v>1170946</v>
      </c>
      <c r="M34" s="289">
        <v>291</v>
      </c>
      <c r="N34" s="289">
        <v>-1212171</v>
      </c>
      <c r="O34" s="290">
        <v>0</v>
      </c>
      <c r="P34" s="288">
        <f>P33+B34+O34+N34</f>
        <v>486177871</v>
      </c>
    </row>
    <row r="35" spans="1:16" ht="16.5" customHeight="1" hidden="1">
      <c r="A35" s="258" t="s">
        <v>189</v>
      </c>
      <c r="B35" s="288">
        <f aca="true" t="shared" si="9" ref="B35:B41">C35-I35</f>
        <v>9895653</v>
      </c>
      <c r="C35" s="288">
        <f t="shared" si="5"/>
        <v>11031226</v>
      </c>
      <c r="D35" s="288">
        <v>4847371</v>
      </c>
      <c r="E35" s="289">
        <v>1152844</v>
      </c>
      <c r="F35" s="289">
        <v>-699</v>
      </c>
      <c r="G35" s="289">
        <v>5029720</v>
      </c>
      <c r="H35" s="289">
        <v>1990</v>
      </c>
      <c r="I35" s="289">
        <f t="shared" si="6"/>
        <v>1135573</v>
      </c>
      <c r="J35" s="288">
        <v>402195</v>
      </c>
      <c r="K35" s="289">
        <v>1291128</v>
      </c>
      <c r="L35" s="289">
        <v>-557817</v>
      </c>
      <c r="M35" s="289">
        <v>67</v>
      </c>
      <c r="N35" s="289">
        <v>38900</v>
      </c>
      <c r="O35" s="290">
        <v>0</v>
      </c>
      <c r="P35" s="288">
        <f>P34+B35+O35+N35</f>
        <v>496112424</v>
      </c>
    </row>
    <row r="36" spans="1:16" ht="16.5" customHeight="1" hidden="1">
      <c r="A36" s="258" t="s">
        <v>192</v>
      </c>
      <c r="B36" s="288">
        <f t="shared" si="9"/>
        <v>-14435970</v>
      </c>
      <c r="C36" s="288">
        <f aca="true" t="shared" si="10" ref="C36:C41">SUM(D36:H36)</f>
        <v>10488178</v>
      </c>
      <c r="D36" s="288">
        <v>4867801</v>
      </c>
      <c r="E36" s="289">
        <v>4083090</v>
      </c>
      <c r="F36" s="290">
        <v>0</v>
      </c>
      <c r="G36" s="289">
        <v>1536019</v>
      </c>
      <c r="H36" s="289">
        <v>1268</v>
      </c>
      <c r="I36" s="289">
        <f aca="true" t="shared" si="11" ref="I36:I41">SUM(J36:M36)</f>
        <v>24924148</v>
      </c>
      <c r="J36" s="288">
        <v>22996277</v>
      </c>
      <c r="K36" s="306">
        <f>1185103-1</f>
        <v>1185102</v>
      </c>
      <c r="L36" s="306">
        <f>741587+1</f>
        <v>741588</v>
      </c>
      <c r="M36" s="289">
        <v>1181</v>
      </c>
      <c r="N36" s="289">
        <v>432706</v>
      </c>
      <c r="O36" s="290">
        <v>0</v>
      </c>
      <c r="P36" s="288">
        <f>P35+B36+O36+N36+1</f>
        <v>482109161</v>
      </c>
    </row>
    <row r="37" spans="1:16" ht="16.5" customHeight="1" hidden="1">
      <c r="A37" s="258" t="s">
        <v>197</v>
      </c>
      <c r="B37" s="288">
        <f t="shared" si="9"/>
        <v>8699354</v>
      </c>
      <c r="C37" s="288">
        <f t="shared" si="10"/>
        <v>11203566</v>
      </c>
      <c r="D37" s="288">
        <v>4840294</v>
      </c>
      <c r="E37" s="289">
        <v>3495036</v>
      </c>
      <c r="F37" s="290">
        <v>0</v>
      </c>
      <c r="G37" s="289">
        <v>2867203</v>
      </c>
      <c r="H37" s="289">
        <v>1033</v>
      </c>
      <c r="I37" s="289">
        <f t="shared" si="11"/>
        <v>2504212</v>
      </c>
      <c r="J37" s="288">
        <v>1601404</v>
      </c>
      <c r="K37" s="288">
        <v>875741</v>
      </c>
      <c r="L37" s="288">
        <v>25752</v>
      </c>
      <c r="M37" s="289">
        <v>1315</v>
      </c>
      <c r="N37" s="289">
        <v>546706</v>
      </c>
      <c r="O37" s="290">
        <v>0</v>
      </c>
      <c r="P37" s="288">
        <f>P36+B37+O37+N37</f>
        <v>491355221</v>
      </c>
    </row>
    <row r="38" spans="1:16" s="318" customFormat="1" ht="16.5" customHeight="1" hidden="1">
      <c r="A38" s="258" t="s">
        <v>199</v>
      </c>
      <c r="B38" s="288">
        <f t="shared" si="9"/>
        <v>9174290</v>
      </c>
      <c r="C38" s="288">
        <f t="shared" si="10"/>
        <v>13417501</v>
      </c>
      <c r="D38" s="288">
        <v>4763190</v>
      </c>
      <c r="E38" s="288">
        <v>2591634</v>
      </c>
      <c r="F38" s="317">
        <v>0</v>
      </c>
      <c r="G38" s="288">
        <v>6061126</v>
      </c>
      <c r="H38" s="288">
        <v>1551</v>
      </c>
      <c r="I38" s="288">
        <f t="shared" si="11"/>
        <v>4243211</v>
      </c>
      <c r="J38" s="288">
        <v>649307</v>
      </c>
      <c r="K38" s="288">
        <v>846259</v>
      </c>
      <c r="L38" s="288">
        <v>2747168</v>
      </c>
      <c r="M38" s="288">
        <v>477</v>
      </c>
      <c r="N38" s="288">
        <v>971091</v>
      </c>
      <c r="O38" s="317">
        <v>0</v>
      </c>
      <c r="P38" s="288">
        <f>P37+B38+O38+N38</f>
        <v>501500602</v>
      </c>
    </row>
    <row r="39" spans="1:16" s="318" customFormat="1" ht="16.5" customHeight="1" hidden="1">
      <c r="A39" s="258" t="s">
        <v>201</v>
      </c>
      <c r="B39" s="288">
        <f t="shared" si="9"/>
        <v>-4190071.327</v>
      </c>
      <c r="C39" s="288">
        <f t="shared" si="10"/>
        <v>1722761.0429999991</v>
      </c>
      <c r="D39" s="288">
        <f>4954660396/1000</f>
        <v>4954660.396</v>
      </c>
      <c r="E39" s="288">
        <f>1739558311/1000</f>
        <v>1739558.311</v>
      </c>
      <c r="F39" s="317">
        <v>0</v>
      </c>
      <c r="G39" s="288">
        <f>-4973655223/1000</f>
        <v>-4973655.223</v>
      </c>
      <c r="H39" s="288">
        <f>2197559/1000</f>
        <v>2197.559</v>
      </c>
      <c r="I39" s="288">
        <f t="shared" si="11"/>
        <v>5912832.369999999</v>
      </c>
      <c r="J39" s="288">
        <f>467041231/1000</f>
        <v>467041.231</v>
      </c>
      <c r="K39" s="288">
        <f>1396599254/1000</f>
        <v>1396599.254</v>
      </c>
      <c r="L39" s="288">
        <f>4048156886/1000</f>
        <v>4048156.886</v>
      </c>
      <c r="M39" s="288">
        <f>1034999/1000</f>
        <v>1034.999</v>
      </c>
      <c r="N39" s="288">
        <f>-1018878592/1000</f>
        <v>-1018878.592</v>
      </c>
      <c r="O39" s="317">
        <v>0</v>
      </c>
      <c r="P39" s="288">
        <f>P38+B39+O39+N39</f>
        <v>496291652.081</v>
      </c>
    </row>
    <row r="40" spans="1:16" s="318" customFormat="1" ht="16.5" customHeight="1" hidden="1">
      <c r="A40" s="258" t="s">
        <v>203</v>
      </c>
      <c r="B40" s="288">
        <f t="shared" si="9"/>
        <v>11373549.89</v>
      </c>
      <c r="C40" s="288">
        <f t="shared" si="10"/>
        <v>10473620</v>
      </c>
      <c r="D40" s="288">
        <f>4975447</f>
        <v>4975447</v>
      </c>
      <c r="E40" s="288">
        <v>1106985</v>
      </c>
      <c r="F40" s="317">
        <v>0</v>
      </c>
      <c r="G40" s="288">
        <v>4382010</v>
      </c>
      <c r="H40" s="288">
        <v>9178</v>
      </c>
      <c r="I40" s="288">
        <f t="shared" si="11"/>
        <v>-899929.8900000002</v>
      </c>
      <c r="J40" s="288">
        <f>499648868/1000</f>
        <v>499648.868</v>
      </c>
      <c r="K40" s="332">
        <f>(26059140+3057665+756399+485925+12052+834123813-29701)/1000</f>
        <v>864465.293</v>
      </c>
      <c r="L40" s="288">
        <f>(-3048914944+784463063)/1000</f>
        <v>-2264451.881</v>
      </c>
      <c r="M40" s="288">
        <f>407830/1000</f>
        <v>407.83</v>
      </c>
      <c r="N40" s="288">
        <f>1049737700/1000</f>
        <v>1049737.7</v>
      </c>
      <c r="O40" s="317">
        <v>0</v>
      </c>
      <c r="P40" s="288">
        <f>P39+B40+O40+N40</f>
        <v>508714939.67099994</v>
      </c>
    </row>
    <row r="41" spans="1:16" s="318" customFormat="1" ht="16.5" customHeight="1" hidden="1">
      <c r="A41" s="258" t="s">
        <v>204</v>
      </c>
      <c r="B41" s="288">
        <f t="shared" si="9"/>
        <v>8883774</v>
      </c>
      <c r="C41" s="288">
        <f t="shared" si="10"/>
        <v>10680297</v>
      </c>
      <c r="D41" s="288">
        <v>5481981</v>
      </c>
      <c r="E41" s="288">
        <v>1366606</v>
      </c>
      <c r="F41" s="317">
        <v>0</v>
      </c>
      <c r="G41" s="288">
        <v>3830045</v>
      </c>
      <c r="H41" s="288">
        <v>1665</v>
      </c>
      <c r="I41" s="288">
        <f t="shared" si="11"/>
        <v>1796523</v>
      </c>
      <c r="J41" s="288">
        <v>569205</v>
      </c>
      <c r="K41" s="332">
        <f>977774</f>
        <v>977774</v>
      </c>
      <c r="L41" s="288">
        <v>249273</v>
      </c>
      <c r="M41" s="288">
        <v>271</v>
      </c>
      <c r="N41" s="288">
        <v>542657</v>
      </c>
      <c r="O41" s="317">
        <v>0</v>
      </c>
      <c r="P41" s="288">
        <f>P40+B41+O41+N41</f>
        <v>518141370.67099994</v>
      </c>
    </row>
    <row r="42" spans="1:16" s="318" customFormat="1" ht="16.5" customHeight="1">
      <c r="A42" s="269" t="s">
        <v>207</v>
      </c>
      <c r="B42" s="285">
        <f>C42-I42</f>
        <v>42118138</v>
      </c>
      <c r="C42" s="285">
        <f>SUM(D42:H42)</f>
        <v>122255580</v>
      </c>
      <c r="D42" s="285">
        <f>59250545</f>
        <v>59250545</v>
      </c>
      <c r="E42" s="285">
        <v>33323215</v>
      </c>
      <c r="F42" s="317">
        <v>0</v>
      </c>
      <c r="G42" s="285">
        <f>SUM(G43:G54)</f>
        <v>29649564</v>
      </c>
      <c r="H42" s="285">
        <v>32256</v>
      </c>
      <c r="I42" s="285">
        <f aca="true" t="shared" si="12" ref="I42:I54">SUM(J42:M42)</f>
        <v>80137442</v>
      </c>
      <c r="J42" s="285">
        <f>57728247</f>
        <v>57728247</v>
      </c>
      <c r="K42" s="285">
        <v>11401793</v>
      </c>
      <c r="L42" s="285">
        <f>10996119-1</f>
        <v>10996118</v>
      </c>
      <c r="M42" s="285">
        <f>11283+1</f>
        <v>11284</v>
      </c>
      <c r="N42" s="285">
        <f>2189563+1</f>
        <v>2189564</v>
      </c>
      <c r="O42" s="285">
        <f>SUM(O43:O54)</f>
        <v>-740000</v>
      </c>
      <c r="P42" s="285">
        <f>P29+B42+N42</f>
        <v>562449072.885</v>
      </c>
    </row>
    <row r="43" spans="1:16" s="318" customFormat="1" ht="16.5" customHeight="1" hidden="1">
      <c r="A43" s="258" t="s">
        <v>205</v>
      </c>
      <c r="B43" s="288">
        <f aca="true" t="shared" si="13" ref="B43:B50">C43-I43</f>
        <v>-9447712</v>
      </c>
      <c r="C43" s="288">
        <f aca="true" t="shared" si="14" ref="C43:C52">SUM(D43:H43)</f>
        <v>15783614</v>
      </c>
      <c r="D43" s="288">
        <v>4982181</v>
      </c>
      <c r="E43" s="288">
        <v>2370205</v>
      </c>
      <c r="F43" s="317">
        <v>0</v>
      </c>
      <c r="G43" s="288">
        <v>8429169</v>
      </c>
      <c r="H43" s="288">
        <v>2059</v>
      </c>
      <c r="I43" s="288">
        <f t="shared" si="12"/>
        <v>25231326</v>
      </c>
      <c r="J43" s="288">
        <v>24324768</v>
      </c>
      <c r="K43" s="332">
        <v>523296</v>
      </c>
      <c r="L43" s="288">
        <v>383057</v>
      </c>
      <c r="M43" s="288">
        <v>205</v>
      </c>
      <c r="N43" s="288">
        <v>860252</v>
      </c>
      <c r="O43" s="288">
        <v>-740000</v>
      </c>
      <c r="P43" s="288">
        <f>P29+B43+N43</f>
        <v>509553910.885</v>
      </c>
    </row>
    <row r="44" spans="1:16" s="318" customFormat="1" ht="16.5" customHeight="1" hidden="1">
      <c r="A44" s="258" t="s">
        <v>208</v>
      </c>
      <c r="B44" s="288">
        <f t="shared" si="13"/>
        <v>5382329</v>
      </c>
      <c r="C44" s="288">
        <f t="shared" si="14"/>
        <v>7394118</v>
      </c>
      <c r="D44" s="288">
        <v>4713706</v>
      </c>
      <c r="E44" s="288">
        <v>2477115</v>
      </c>
      <c r="F44" s="289">
        <v>3772</v>
      </c>
      <c r="G44" s="288">
        <v>198505</v>
      </c>
      <c r="H44" s="288">
        <v>1020</v>
      </c>
      <c r="I44" s="288">
        <f t="shared" si="12"/>
        <v>2011789</v>
      </c>
      <c r="J44" s="288">
        <v>769930</v>
      </c>
      <c r="K44" s="332">
        <v>564798</v>
      </c>
      <c r="L44" s="288">
        <v>677035</v>
      </c>
      <c r="M44" s="288">
        <v>26</v>
      </c>
      <c r="N44" s="288">
        <v>244304</v>
      </c>
      <c r="O44" s="317">
        <v>0</v>
      </c>
      <c r="P44" s="288">
        <f aca="true" t="shared" si="15" ref="P44:P52">P43+B44+N44</f>
        <v>515180543.885</v>
      </c>
    </row>
    <row r="45" spans="1:16" s="318" customFormat="1" ht="16.5" customHeight="1" hidden="1">
      <c r="A45" s="258" t="s">
        <v>209</v>
      </c>
      <c r="B45" s="288">
        <f t="shared" si="13"/>
        <v>7279029</v>
      </c>
      <c r="C45" s="288">
        <f t="shared" si="14"/>
        <v>8988531</v>
      </c>
      <c r="D45" s="288">
        <v>4883162</v>
      </c>
      <c r="E45" s="288">
        <v>2260949</v>
      </c>
      <c r="F45" s="289">
        <v>-812</v>
      </c>
      <c r="G45" s="288">
        <v>1841520</v>
      </c>
      <c r="H45" s="288">
        <v>3712</v>
      </c>
      <c r="I45" s="288">
        <f t="shared" si="12"/>
        <v>1709502</v>
      </c>
      <c r="J45" s="288">
        <v>739085</v>
      </c>
      <c r="K45" s="332">
        <v>749830</v>
      </c>
      <c r="L45" s="288">
        <v>220093</v>
      </c>
      <c r="M45" s="288">
        <v>494</v>
      </c>
      <c r="N45" s="288">
        <v>382656</v>
      </c>
      <c r="O45" s="317">
        <v>0</v>
      </c>
      <c r="P45" s="288">
        <f t="shared" si="15"/>
        <v>522842228.885</v>
      </c>
    </row>
    <row r="46" spans="1:16" s="318" customFormat="1" ht="16.5" customHeight="1" hidden="1">
      <c r="A46" s="258" t="s">
        <v>212</v>
      </c>
      <c r="B46" s="288">
        <f t="shared" si="13"/>
        <v>7599738</v>
      </c>
      <c r="C46" s="288">
        <f t="shared" si="14"/>
        <v>10320793</v>
      </c>
      <c r="D46" s="288">
        <v>4845962</v>
      </c>
      <c r="E46" s="288">
        <v>2144205</v>
      </c>
      <c r="F46" s="289">
        <v>-2959</v>
      </c>
      <c r="G46" s="288">
        <v>3331145</v>
      </c>
      <c r="H46" s="288">
        <v>2440</v>
      </c>
      <c r="I46" s="288">
        <f t="shared" si="12"/>
        <v>2721055</v>
      </c>
      <c r="J46" s="288">
        <v>546252</v>
      </c>
      <c r="K46" s="332">
        <v>535782</v>
      </c>
      <c r="L46" s="288">
        <v>1639103</v>
      </c>
      <c r="M46" s="288">
        <v>-82</v>
      </c>
      <c r="N46" s="288">
        <v>227140</v>
      </c>
      <c r="O46" s="317">
        <v>0</v>
      </c>
      <c r="P46" s="288">
        <f t="shared" si="15"/>
        <v>530669106.885</v>
      </c>
    </row>
    <row r="47" spans="1:16" s="318" customFormat="1" ht="16.5" customHeight="1" hidden="1">
      <c r="A47" s="258" t="s">
        <v>213</v>
      </c>
      <c r="B47" s="288">
        <f t="shared" si="13"/>
        <v>8521167</v>
      </c>
      <c r="C47" s="288">
        <f t="shared" si="14"/>
        <v>10499835</v>
      </c>
      <c r="D47" s="288">
        <v>4990410</v>
      </c>
      <c r="E47" s="288">
        <v>3785170</v>
      </c>
      <c r="F47" s="289">
        <v>1487</v>
      </c>
      <c r="G47" s="288">
        <v>1720927</v>
      </c>
      <c r="H47" s="336">
        <v>1841</v>
      </c>
      <c r="I47" s="288">
        <f t="shared" si="12"/>
        <v>1978668</v>
      </c>
      <c r="J47" s="288">
        <v>378700</v>
      </c>
      <c r="K47" s="332">
        <v>536173</v>
      </c>
      <c r="L47" s="288">
        <v>1062328</v>
      </c>
      <c r="M47" s="288">
        <v>1467</v>
      </c>
      <c r="N47" s="336">
        <f>421629-1</f>
        <v>421628</v>
      </c>
      <c r="O47" s="317">
        <v>0</v>
      </c>
      <c r="P47" s="288">
        <f t="shared" si="15"/>
        <v>539611901.885</v>
      </c>
    </row>
    <row r="48" spans="1:16" s="318" customFormat="1" ht="16.5" customHeight="1" hidden="1">
      <c r="A48" s="258" t="s">
        <v>214</v>
      </c>
      <c r="B48" s="288">
        <f t="shared" si="13"/>
        <v>-4380477</v>
      </c>
      <c r="C48" s="288">
        <f t="shared" si="14"/>
        <v>931695</v>
      </c>
      <c r="D48" s="288">
        <v>4780788</v>
      </c>
      <c r="E48" s="288">
        <v>1517010</v>
      </c>
      <c r="F48" s="317">
        <v>0</v>
      </c>
      <c r="G48" s="288">
        <f>-5367560</f>
        <v>-5367560</v>
      </c>
      <c r="H48" s="336">
        <v>1457</v>
      </c>
      <c r="I48" s="288">
        <f t="shared" si="12"/>
        <v>5312172</v>
      </c>
      <c r="J48" s="288">
        <v>457481</v>
      </c>
      <c r="K48" s="332">
        <v>675883</v>
      </c>
      <c r="L48" s="288">
        <v>4176871</v>
      </c>
      <c r="M48" s="288">
        <v>1937</v>
      </c>
      <c r="N48" s="336">
        <v>-1284560</v>
      </c>
      <c r="O48" s="317">
        <v>0</v>
      </c>
      <c r="P48" s="288">
        <f t="shared" si="15"/>
        <v>533946864.885</v>
      </c>
    </row>
    <row r="49" spans="1:16" s="318" customFormat="1" ht="16.5" customHeight="1" hidden="1">
      <c r="A49" s="258" t="s">
        <v>215</v>
      </c>
      <c r="B49" s="288">
        <f t="shared" si="13"/>
        <v>-13528666</v>
      </c>
      <c r="C49" s="288">
        <f t="shared" si="14"/>
        <v>13095821</v>
      </c>
      <c r="D49" s="288">
        <v>4881125</v>
      </c>
      <c r="E49" s="288">
        <v>4723441</v>
      </c>
      <c r="F49" s="317">
        <v>0</v>
      </c>
      <c r="G49" s="288">
        <v>3487761</v>
      </c>
      <c r="H49" s="336">
        <v>3494</v>
      </c>
      <c r="I49" s="288">
        <f t="shared" si="12"/>
        <v>26624487</v>
      </c>
      <c r="J49" s="288">
        <v>26593276</v>
      </c>
      <c r="K49" s="332">
        <v>737362</v>
      </c>
      <c r="L49" s="288">
        <v>-707152</v>
      </c>
      <c r="M49" s="288">
        <v>1001</v>
      </c>
      <c r="N49" s="336">
        <v>150800</v>
      </c>
      <c r="O49" s="317">
        <v>0</v>
      </c>
      <c r="P49" s="288">
        <f t="shared" si="15"/>
        <v>520568998.885</v>
      </c>
    </row>
    <row r="50" spans="1:16" s="318" customFormat="1" ht="16.5" customHeight="1" hidden="1">
      <c r="A50" s="258" t="s">
        <v>216</v>
      </c>
      <c r="B50" s="288">
        <f t="shared" si="13"/>
        <v>68127</v>
      </c>
      <c r="C50" s="288">
        <f t="shared" si="14"/>
        <v>4958507</v>
      </c>
      <c r="D50" s="288">
        <f>4828185</f>
        <v>4828185</v>
      </c>
      <c r="E50" s="288">
        <v>3721676</v>
      </c>
      <c r="F50" s="317">
        <v>0</v>
      </c>
      <c r="G50" s="288">
        <v>-3592789</v>
      </c>
      <c r="H50" s="336">
        <v>1435</v>
      </c>
      <c r="I50" s="288">
        <f t="shared" si="12"/>
        <v>4890380</v>
      </c>
      <c r="J50" s="288">
        <v>1506963</v>
      </c>
      <c r="K50" s="332">
        <f>1077529+1</f>
        <v>1077530</v>
      </c>
      <c r="L50" s="288">
        <v>2304311</v>
      </c>
      <c r="M50" s="288">
        <v>1576</v>
      </c>
      <c r="N50" s="336">
        <v>-294422</v>
      </c>
      <c r="O50" s="317">
        <v>0</v>
      </c>
      <c r="P50" s="288">
        <f t="shared" si="15"/>
        <v>520342703.885</v>
      </c>
    </row>
    <row r="51" spans="1:16" s="318" customFormat="1" ht="16.5" customHeight="1" hidden="1">
      <c r="A51" s="258" t="s">
        <v>217</v>
      </c>
      <c r="B51" s="288">
        <f>C51-I51</f>
        <v>12051301</v>
      </c>
      <c r="C51" s="288">
        <f t="shared" si="14"/>
        <v>15089919</v>
      </c>
      <c r="D51" s="288">
        <v>4772291</v>
      </c>
      <c r="E51" s="288">
        <v>5118657</v>
      </c>
      <c r="F51" s="317">
        <v>0</v>
      </c>
      <c r="G51" s="288">
        <v>5196887</v>
      </c>
      <c r="H51" s="336">
        <v>2084</v>
      </c>
      <c r="I51" s="288">
        <f t="shared" si="12"/>
        <v>3038618</v>
      </c>
      <c r="J51" s="288">
        <v>726168</v>
      </c>
      <c r="K51" s="332">
        <v>1768089</v>
      </c>
      <c r="L51" s="288">
        <v>543872</v>
      </c>
      <c r="M51" s="288">
        <v>489</v>
      </c>
      <c r="N51" s="336">
        <v>797472</v>
      </c>
      <c r="O51" s="317">
        <v>0</v>
      </c>
      <c r="P51" s="288">
        <f t="shared" si="15"/>
        <v>533191476.885</v>
      </c>
    </row>
    <row r="52" spans="1:16" s="318" customFormat="1" ht="16.5" customHeight="1" hidden="1">
      <c r="A52" s="258" t="s">
        <v>218</v>
      </c>
      <c r="B52" s="288">
        <f>C52-I52</f>
        <v>12001867</v>
      </c>
      <c r="C52" s="288">
        <f t="shared" si="14"/>
        <v>13384969</v>
      </c>
      <c r="D52" s="288">
        <v>4945269</v>
      </c>
      <c r="E52" s="288">
        <v>2212776</v>
      </c>
      <c r="F52" s="317">
        <v>0</v>
      </c>
      <c r="G52" s="288">
        <v>6224303</v>
      </c>
      <c r="H52" s="336">
        <v>2621</v>
      </c>
      <c r="I52" s="288">
        <f t="shared" si="12"/>
        <v>1383102</v>
      </c>
      <c r="J52" s="288">
        <v>518984</v>
      </c>
      <c r="K52" s="332">
        <v>1401420</v>
      </c>
      <c r="L52" s="288">
        <v>-539598</v>
      </c>
      <c r="M52" s="288">
        <v>2296</v>
      </c>
      <c r="N52" s="336">
        <v>91590</v>
      </c>
      <c r="O52" s="317">
        <v>0</v>
      </c>
      <c r="P52" s="288">
        <f t="shared" si="15"/>
        <v>545284933.885</v>
      </c>
    </row>
    <row r="53" spans="1:16" s="318" customFormat="1" ht="16.5" customHeight="1" hidden="1">
      <c r="A53" s="258" t="s">
        <v>219</v>
      </c>
      <c r="B53" s="288">
        <f>C53-I53</f>
        <v>5828401</v>
      </c>
      <c r="C53" s="288">
        <f>SUM(D53:H53)</f>
        <v>8846647</v>
      </c>
      <c r="D53" s="288">
        <v>4959902</v>
      </c>
      <c r="E53" s="288">
        <f>1269535+1</f>
        <v>1269536</v>
      </c>
      <c r="F53" s="289">
        <v>1388</v>
      </c>
      <c r="G53" s="288">
        <v>2612914</v>
      </c>
      <c r="H53" s="336">
        <v>2907</v>
      </c>
      <c r="I53" s="288">
        <f t="shared" si="12"/>
        <v>3018246</v>
      </c>
      <c r="J53" s="288">
        <v>500497</v>
      </c>
      <c r="K53" s="332">
        <v>1610995</v>
      </c>
      <c r="L53" s="288">
        <v>905271</v>
      </c>
      <c r="M53" s="288">
        <f>1482+1</f>
        <v>1483</v>
      </c>
      <c r="N53" s="336">
        <v>89443</v>
      </c>
      <c r="O53" s="317">
        <v>0</v>
      </c>
      <c r="P53" s="288">
        <f>P52+B53+N53</f>
        <v>551202777.885</v>
      </c>
    </row>
    <row r="54" spans="1:16" s="318" customFormat="1" ht="16.5" customHeight="1" hidden="1">
      <c r="A54" s="258" t="s">
        <v>220</v>
      </c>
      <c r="B54" s="288">
        <f>C54-I54</f>
        <v>10743035</v>
      </c>
      <c r="C54" s="288">
        <f>SUM(D54:H54)</f>
        <v>12961132</v>
      </c>
      <c r="D54" s="288">
        <v>5667564</v>
      </c>
      <c r="E54" s="288">
        <v>1722475</v>
      </c>
      <c r="F54" s="289">
        <v>-2875</v>
      </c>
      <c r="G54" s="288">
        <v>5566782</v>
      </c>
      <c r="H54" s="336">
        <v>7186</v>
      </c>
      <c r="I54" s="288">
        <f t="shared" si="12"/>
        <v>2218097</v>
      </c>
      <c r="J54" s="288">
        <v>666143</v>
      </c>
      <c r="K54" s="332">
        <v>1220635</v>
      </c>
      <c r="L54" s="288">
        <v>330928</v>
      </c>
      <c r="M54" s="288">
        <v>391</v>
      </c>
      <c r="N54" s="336">
        <v>503260</v>
      </c>
      <c r="O54" s="317">
        <v>0</v>
      </c>
      <c r="P54" s="288">
        <f>P53+B54+N54</f>
        <v>562449072.885</v>
      </c>
    </row>
    <row r="55" spans="1:16" s="318" customFormat="1" ht="16.5" customHeight="1">
      <c r="A55" s="269" t="s">
        <v>221</v>
      </c>
      <c r="B55" s="288"/>
      <c r="C55" s="288"/>
      <c r="D55" s="288"/>
      <c r="E55" s="288"/>
      <c r="F55" s="289"/>
      <c r="G55" s="288"/>
      <c r="H55" s="336"/>
      <c r="I55" s="288"/>
      <c r="J55" s="288"/>
      <c r="K55" s="332"/>
      <c r="L55" s="288"/>
      <c r="M55" s="288"/>
      <c r="N55" s="336"/>
      <c r="O55" s="317"/>
      <c r="P55" s="288"/>
    </row>
    <row r="56" spans="1:16" s="370" customFormat="1" ht="16.5" customHeight="1">
      <c r="A56" s="366" t="s">
        <v>222</v>
      </c>
      <c r="B56" s="367">
        <f aca="true" t="shared" si="16" ref="B56:B67">C56-I56</f>
        <v>-25734016</v>
      </c>
      <c r="C56" s="367">
        <f aca="true" t="shared" si="17" ref="C56:C68">SUM(D56:H56)</f>
        <v>10461881</v>
      </c>
      <c r="D56" s="367">
        <v>5179081</v>
      </c>
      <c r="E56" s="367">
        <v>2900220</v>
      </c>
      <c r="F56" s="368">
        <v>165</v>
      </c>
      <c r="G56" s="367">
        <v>2380395</v>
      </c>
      <c r="H56" s="369">
        <v>2020</v>
      </c>
      <c r="I56" s="367">
        <f aca="true" t="shared" si="18" ref="I56:I67">SUM(J56:M56)</f>
        <v>36195897</v>
      </c>
      <c r="J56" s="367">
        <v>27462530</v>
      </c>
      <c r="K56" s="367">
        <v>575842</v>
      </c>
      <c r="L56" s="367">
        <v>8157424</v>
      </c>
      <c r="M56" s="367">
        <v>101</v>
      </c>
      <c r="N56" s="369">
        <v>-430102</v>
      </c>
      <c r="O56" s="367">
        <v>-740000</v>
      </c>
      <c r="P56" s="367">
        <f>P42+B56+N56</f>
        <v>536284954.885</v>
      </c>
    </row>
    <row r="57" spans="1:16" s="370" customFormat="1" ht="16.5" customHeight="1">
      <c r="A57" s="366" t="s">
        <v>224</v>
      </c>
      <c r="B57" s="367">
        <f t="shared" si="16"/>
        <v>12065920</v>
      </c>
      <c r="C57" s="367">
        <f t="shared" si="17"/>
        <v>7528301</v>
      </c>
      <c r="D57" s="367">
        <v>4664387</v>
      </c>
      <c r="E57" s="367">
        <v>1825157</v>
      </c>
      <c r="F57" s="368">
        <v>869</v>
      </c>
      <c r="G57" s="367">
        <v>1036911</v>
      </c>
      <c r="H57" s="369">
        <v>977</v>
      </c>
      <c r="I57" s="367">
        <f t="shared" si="18"/>
        <v>-4537619</v>
      </c>
      <c r="J57" s="367">
        <v>641314</v>
      </c>
      <c r="K57" s="367">
        <v>353753</v>
      </c>
      <c r="L57" s="367">
        <v>-5533160</v>
      </c>
      <c r="M57" s="367">
        <v>474</v>
      </c>
      <c r="N57" s="369">
        <v>675793</v>
      </c>
      <c r="O57" s="317">
        <v>0</v>
      </c>
      <c r="P57" s="367">
        <f aca="true" t="shared" si="19" ref="P57:P67">P56+B57+N57</f>
        <v>549026667.885</v>
      </c>
    </row>
    <row r="58" spans="1:16" s="370" customFormat="1" ht="16.5" customHeight="1">
      <c r="A58" s="366" t="s">
        <v>226</v>
      </c>
      <c r="B58" s="367">
        <f t="shared" si="16"/>
        <v>9864340</v>
      </c>
      <c r="C58" s="367">
        <f t="shared" si="17"/>
        <v>10095154</v>
      </c>
      <c r="D58" s="367">
        <v>4793979</v>
      </c>
      <c r="E58" s="367">
        <v>3358479</v>
      </c>
      <c r="F58" s="368">
        <v>0</v>
      </c>
      <c r="G58" s="367">
        <v>1941511</v>
      </c>
      <c r="H58" s="369">
        <v>1185</v>
      </c>
      <c r="I58" s="367">
        <f t="shared" si="18"/>
        <v>230814</v>
      </c>
      <c r="J58" s="367">
        <v>722953</v>
      </c>
      <c r="K58" s="367">
        <v>622390</v>
      </c>
      <c r="L58" s="367">
        <v>-1115123</v>
      </c>
      <c r="M58" s="367">
        <v>594</v>
      </c>
      <c r="N58" s="369">
        <v>490268</v>
      </c>
      <c r="O58" s="317">
        <v>0</v>
      </c>
      <c r="P58" s="367">
        <f t="shared" si="19"/>
        <v>559381275.885</v>
      </c>
    </row>
    <row r="59" spans="1:16" s="370" customFormat="1" ht="16.5" customHeight="1">
      <c r="A59" s="366" t="s">
        <v>227</v>
      </c>
      <c r="B59" s="367">
        <f t="shared" si="16"/>
        <v>3358770</v>
      </c>
      <c r="C59" s="367">
        <f t="shared" si="17"/>
        <v>8725110</v>
      </c>
      <c r="D59" s="367">
        <v>4925393</v>
      </c>
      <c r="E59" s="367">
        <v>3276460</v>
      </c>
      <c r="F59" s="368">
        <v>0</v>
      </c>
      <c r="G59" s="367">
        <v>521277</v>
      </c>
      <c r="H59" s="369">
        <v>1980</v>
      </c>
      <c r="I59" s="367">
        <f t="shared" si="18"/>
        <v>5366340</v>
      </c>
      <c r="J59" s="367">
        <v>537354</v>
      </c>
      <c r="K59" s="367">
        <v>615678</v>
      </c>
      <c r="L59" s="367">
        <v>4211995</v>
      </c>
      <c r="M59" s="367">
        <v>1313</v>
      </c>
      <c r="N59" s="369">
        <v>-168886</v>
      </c>
      <c r="O59" s="317">
        <v>0</v>
      </c>
      <c r="P59" s="367">
        <f t="shared" si="19"/>
        <v>562571159.885</v>
      </c>
    </row>
    <row r="60" spans="1:16" s="370" customFormat="1" ht="16.5" customHeight="1">
      <c r="A60" s="366" t="s">
        <v>228</v>
      </c>
      <c r="B60" s="367">
        <f t="shared" si="16"/>
        <v>10733706</v>
      </c>
      <c r="C60" s="367">
        <f aca="true" t="shared" si="20" ref="C60:C66">SUM(D60:H60)</f>
        <v>9845166</v>
      </c>
      <c r="D60" s="367">
        <v>4951068</v>
      </c>
      <c r="E60" s="367">
        <v>2228066</v>
      </c>
      <c r="F60" s="368">
        <v>0</v>
      </c>
      <c r="G60" s="367">
        <v>2664597</v>
      </c>
      <c r="H60" s="369">
        <v>1435</v>
      </c>
      <c r="I60" s="367">
        <f t="shared" si="18"/>
        <v>-888540</v>
      </c>
      <c r="J60" s="367">
        <v>307002</v>
      </c>
      <c r="K60" s="367">
        <v>337297</v>
      </c>
      <c r="L60" s="367">
        <v>-1533554</v>
      </c>
      <c r="M60" s="367">
        <v>715</v>
      </c>
      <c r="N60" s="369">
        <v>1028295</v>
      </c>
      <c r="O60" s="317">
        <v>0</v>
      </c>
      <c r="P60" s="367">
        <f t="shared" si="19"/>
        <v>574333160.885</v>
      </c>
    </row>
    <row r="61" spans="1:16" s="370" customFormat="1" ht="16.5" customHeight="1">
      <c r="A61" s="366" t="s">
        <v>230</v>
      </c>
      <c r="B61" s="367">
        <f aca="true" t="shared" si="21" ref="B61:B66">C61-I61</f>
        <v>10503726</v>
      </c>
      <c r="C61" s="367">
        <f t="shared" si="20"/>
        <v>14218359</v>
      </c>
      <c r="D61" s="367">
        <v>4822682</v>
      </c>
      <c r="E61" s="367">
        <v>5128043</v>
      </c>
      <c r="F61" s="368">
        <v>-869</v>
      </c>
      <c r="G61" s="367">
        <v>4264351</v>
      </c>
      <c r="H61" s="369">
        <v>4152</v>
      </c>
      <c r="I61" s="367">
        <f aca="true" t="shared" si="22" ref="I61:I66">SUM(J61:M61)</f>
        <v>3714633</v>
      </c>
      <c r="J61" s="367">
        <v>400815</v>
      </c>
      <c r="K61" s="367">
        <v>521355</v>
      </c>
      <c r="L61" s="367">
        <v>2792450</v>
      </c>
      <c r="M61" s="367">
        <v>13</v>
      </c>
      <c r="N61" s="369">
        <v>446391</v>
      </c>
      <c r="O61" s="317">
        <v>0</v>
      </c>
      <c r="P61" s="367">
        <f t="shared" si="19"/>
        <v>585283277.885</v>
      </c>
    </row>
    <row r="62" spans="1:16" s="370" customFormat="1" ht="16.5" customHeight="1">
      <c r="A62" s="366" t="s">
        <v>231</v>
      </c>
      <c r="B62" s="367">
        <f t="shared" si="21"/>
        <v>-22589568</v>
      </c>
      <c r="C62" s="367">
        <f t="shared" si="20"/>
        <v>8303747</v>
      </c>
      <c r="D62" s="367">
        <v>4895975</v>
      </c>
      <c r="E62" s="367">
        <v>4923433</v>
      </c>
      <c r="F62" s="368">
        <v>0</v>
      </c>
      <c r="G62" s="367">
        <v>-1519542</v>
      </c>
      <c r="H62" s="369">
        <v>3881</v>
      </c>
      <c r="I62" s="367">
        <f t="shared" si="22"/>
        <v>30893315</v>
      </c>
      <c r="J62" s="367">
        <v>29444844</v>
      </c>
      <c r="K62" s="367">
        <v>481349</v>
      </c>
      <c r="L62" s="367">
        <v>965939</v>
      </c>
      <c r="M62" s="367">
        <v>1183</v>
      </c>
      <c r="N62" s="369">
        <v>-116567</v>
      </c>
      <c r="O62" s="317">
        <v>0</v>
      </c>
      <c r="P62" s="367">
        <f t="shared" si="19"/>
        <v>562577142.885</v>
      </c>
    </row>
    <row r="63" spans="1:16" s="370" customFormat="1" ht="16.5" customHeight="1">
      <c r="A63" s="366" t="s">
        <v>232</v>
      </c>
      <c r="B63" s="367">
        <f t="shared" si="21"/>
        <v>9626250</v>
      </c>
      <c r="C63" s="367">
        <f t="shared" si="20"/>
        <v>12220136</v>
      </c>
      <c r="D63" s="367">
        <v>4803746</v>
      </c>
      <c r="E63" s="367">
        <v>3792522</v>
      </c>
      <c r="F63" s="368">
        <v>0</v>
      </c>
      <c r="G63" s="367">
        <v>3621909</v>
      </c>
      <c r="H63" s="369">
        <v>1959</v>
      </c>
      <c r="I63" s="367">
        <f t="shared" si="22"/>
        <v>2593886</v>
      </c>
      <c r="J63" s="367">
        <v>1527997</v>
      </c>
      <c r="K63" s="367">
        <v>809730</v>
      </c>
      <c r="L63" s="367">
        <v>253552</v>
      </c>
      <c r="M63" s="367">
        <v>2607</v>
      </c>
      <c r="N63" s="369">
        <v>47419</v>
      </c>
      <c r="O63" s="317">
        <v>0</v>
      </c>
      <c r="P63" s="367">
        <f t="shared" si="19"/>
        <v>572250811.885</v>
      </c>
    </row>
    <row r="64" spans="1:16" s="370" customFormat="1" ht="16.5" customHeight="1">
      <c r="A64" s="366" t="s">
        <v>236</v>
      </c>
      <c r="B64" s="367">
        <f t="shared" si="21"/>
        <v>-4596439</v>
      </c>
      <c r="C64" s="367">
        <f t="shared" si="20"/>
        <v>1710938</v>
      </c>
      <c r="D64" s="367">
        <v>4889493</v>
      </c>
      <c r="E64" s="367">
        <v>2720407</v>
      </c>
      <c r="F64" s="368">
        <v>0</v>
      </c>
      <c r="G64" s="367">
        <v>-5899063</v>
      </c>
      <c r="H64" s="369">
        <v>101</v>
      </c>
      <c r="I64" s="367">
        <f t="shared" si="22"/>
        <v>6307377</v>
      </c>
      <c r="J64" s="367">
        <v>567888</v>
      </c>
      <c r="K64" s="367">
        <v>669051</v>
      </c>
      <c r="L64" s="367">
        <v>5069297</v>
      </c>
      <c r="M64" s="367">
        <v>1141</v>
      </c>
      <c r="N64" s="369">
        <v>-1075848</v>
      </c>
      <c r="O64" s="317">
        <v>0</v>
      </c>
      <c r="P64" s="367">
        <f t="shared" si="19"/>
        <v>566578524.885</v>
      </c>
    </row>
    <row r="65" spans="1:16" s="370" customFormat="1" ht="16.5" customHeight="1">
      <c r="A65" s="366" t="s">
        <v>238</v>
      </c>
      <c r="B65" s="367">
        <f t="shared" si="21"/>
        <v>6598021</v>
      </c>
      <c r="C65" s="367">
        <f t="shared" si="20"/>
        <v>8335589</v>
      </c>
      <c r="D65" s="367">
        <v>5012324</v>
      </c>
      <c r="E65" s="367">
        <v>2694711</v>
      </c>
      <c r="F65" s="368">
        <v>0</v>
      </c>
      <c r="G65" s="367">
        <v>616974</v>
      </c>
      <c r="H65" s="369">
        <v>11580</v>
      </c>
      <c r="I65" s="367">
        <f t="shared" si="22"/>
        <v>1737568</v>
      </c>
      <c r="J65" s="367">
        <v>376065</v>
      </c>
      <c r="K65" s="367">
        <v>1413680</v>
      </c>
      <c r="L65" s="367">
        <v>-52713</v>
      </c>
      <c r="M65" s="367">
        <v>536</v>
      </c>
      <c r="N65" s="369">
        <v>153052</v>
      </c>
      <c r="O65" s="317">
        <v>0</v>
      </c>
      <c r="P65" s="367">
        <f t="shared" si="19"/>
        <v>573329597.885</v>
      </c>
    </row>
    <row r="66" spans="1:16" s="370" customFormat="1" ht="16.5" customHeight="1">
      <c r="A66" s="366" t="s">
        <v>239</v>
      </c>
      <c r="B66" s="367">
        <f t="shared" si="21"/>
        <v>11358192</v>
      </c>
      <c r="C66" s="367">
        <f t="shared" si="20"/>
        <v>11483579</v>
      </c>
      <c r="D66" s="367">
        <v>4914488</v>
      </c>
      <c r="E66" s="367">
        <v>2442940</v>
      </c>
      <c r="F66" s="368">
        <v>0</v>
      </c>
      <c r="G66" s="367">
        <v>4119489</v>
      </c>
      <c r="H66" s="369">
        <v>6662</v>
      </c>
      <c r="I66" s="367">
        <f t="shared" si="22"/>
        <v>125387</v>
      </c>
      <c r="J66" s="367">
        <v>412986</v>
      </c>
      <c r="K66" s="367">
        <v>1383771</v>
      </c>
      <c r="L66" s="367">
        <v>-1672073</v>
      </c>
      <c r="M66" s="367">
        <v>703</v>
      </c>
      <c r="N66" s="369">
        <v>730023</v>
      </c>
      <c r="O66" s="317">
        <v>0</v>
      </c>
      <c r="P66" s="367">
        <f t="shared" si="19"/>
        <v>585417812.885</v>
      </c>
    </row>
    <row r="67" spans="1:16" s="370" customFormat="1" ht="16.5" customHeight="1">
      <c r="A67" s="366" t="s">
        <v>243</v>
      </c>
      <c r="B67" s="367">
        <f t="shared" si="16"/>
        <v>9030902</v>
      </c>
      <c r="C67" s="367">
        <f t="shared" si="17"/>
        <v>13264631</v>
      </c>
      <c r="D67" s="367">
        <v>5806218</v>
      </c>
      <c r="E67" s="367">
        <v>1326555</v>
      </c>
      <c r="F67" s="368">
        <v>-165</v>
      </c>
      <c r="G67" s="367">
        <v>6128081</v>
      </c>
      <c r="H67" s="369">
        <v>3942</v>
      </c>
      <c r="I67" s="367">
        <f t="shared" si="18"/>
        <v>4233729</v>
      </c>
      <c r="J67" s="367">
        <v>620782</v>
      </c>
      <c r="K67" s="367">
        <v>2457973</v>
      </c>
      <c r="L67" s="367">
        <v>1154216</v>
      </c>
      <c r="M67" s="367">
        <v>758</v>
      </c>
      <c r="N67" s="369">
        <v>320808</v>
      </c>
      <c r="O67" s="317">
        <v>0</v>
      </c>
      <c r="P67" s="367">
        <f t="shared" si="19"/>
        <v>594769522.885</v>
      </c>
    </row>
    <row r="68" spans="1:16" s="319" customFormat="1" ht="15.75" customHeight="1">
      <c r="A68" s="168" t="s">
        <v>10</v>
      </c>
      <c r="B68" s="291" t="s">
        <v>200</v>
      </c>
      <c r="C68" s="292">
        <f t="shared" si="17"/>
        <v>100</v>
      </c>
      <c r="D68" s="292">
        <f>ROUND(D67/$C67*100,2)</f>
        <v>43.77</v>
      </c>
      <c r="E68" s="292">
        <f>ROUND(E67/$C67*100,2)</f>
        <v>10</v>
      </c>
      <c r="F68" s="292">
        <f>ROUND(F67/$C67*100,2)</f>
        <v>0</v>
      </c>
      <c r="G68" s="292">
        <f>ROUND(G67/$C67*100,2)</f>
        <v>46.2</v>
      </c>
      <c r="H68" s="292">
        <f>ROUND(H67/$C67*100,2)</f>
        <v>0.03</v>
      </c>
      <c r="I68" s="292">
        <f>SUM(J68:M68)</f>
        <v>100</v>
      </c>
      <c r="J68" s="292">
        <f>ROUND(J67/$I67*100,2)</f>
        <v>14.66</v>
      </c>
      <c r="K68" s="292">
        <f>ROUND(K67/$I67*100,2)</f>
        <v>58.06</v>
      </c>
      <c r="L68" s="292">
        <f>ROUND(L67/$I67*100,2)</f>
        <v>27.26</v>
      </c>
      <c r="M68" s="292">
        <f>ROUND(M67/$I67*100,2)</f>
        <v>0.02</v>
      </c>
      <c r="N68" s="292"/>
      <c r="O68" s="292"/>
      <c r="P68" s="292"/>
    </row>
    <row r="69" spans="1:22" ht="24" customHeight="1">
      <c r="A69" s="259" t="s">
        <v>234</v>
      </c>
      <c r="B69" s="234"/>
      <c r="C69" s="234"/>
      <c r="D69" s="234"/>
      <c r="E69" s="234"/>
      <c r="F69" s="234"/>
      <c r="G69" s="234"/>
      <c r="H69" s="234"/>
      <c r="I69" s="234"/>
      <c r="J69" s="234"/>
      <c r="K69" s="234"/>
      <c r="L69" s="234"/>
      <c r="M69" s="234"/>
      <c r="N69" s="234"/>
      <c r="O69" s="234"/>
      <c r="P69" s="235"/>
      <c r="V69" s="244"/>
    </row>
    <row r="70" spans="1:16" s="380" customFormat="1" ht="24" customHeight="1">
      <c r="A70" s="259" t="s">
        <v>235</v>
      </c>
      <c r="B70" s="243"/>
      <c r="C70" s="234"/>
      <c r="D70" s="234"/>
      <c r="E70" s="335"/>
      <c r="F70" s="234"/>
      <c r="G70" s="335"/>
      <c r="H70" s="234"/>
      <c r="I70" s="234"/>
      <c r="J70" s="234"/>
      <c r="K70" s="335"/>
      <c r="L70" s="335"/>
      <c r="M70" s="234"/>
      <c r="N70" s="234"/>
      <c r="O70" s="234"/>
      <c r="P70" s="234"/>
    </row>
    <row r="71" spans="1:27" ht="24" customHeight="1">
      <c r="A71" s="260"/>
      <c r="B71" s="260"/>
      <c r="C71" s="260"/>
      <c r="D71" s="328"/>
      <c r="E71" s="335"/>
      <c r="F71" s="260"/>
      <c r="G71" s="335"/>
      <c r="H71" s="260"/>
      <c r="I71" s="260"/>
      <c r="J71" s="329"/>
      <c r="K71" s="335"/>
      <c r="L71" s="335"/>
      <c r="N71" s="260"/>
      <c r="O71" s="244"/>
      <c r="P71" s="244"/>
      <c r="Q71" s="244"/>
      <c r="R71" s="244"/>
      <c r="S71" s="244"/>
      <c r="T71" s="244"/>
      <c r="U71" s="244"/>
      <c r="V71" s="244"/>
      <c r="W71" s="244"/>
      <c r="X71" s="244"/>
      <c r="Y71" s="244"/>
      <c r="Z71" s="244"/>
      <c r="AA71" s="244"/>
    </row>
    <row r="72" spans="1:28" ht="24" customHeight="1">
      <c r="A72" s="260"/>
      <c r="B72" s="261"/>
      <c r="C72" s="260"/>
      <c r="D72" s="260"/>
      <c r="E72" s="260"/>
      <c r="F72" s="260"/>
      <c r="G72" s="260"/>
      <c r="H72" s="260"/>
      <c r="I72" s="260"/>
      <c r="J72" s="260"/>
      <c r="K72" s="329"/>
      <c r="L72" s="260"/>
      <c r="M72" s="260"/>
      <c r="N72" s="260"/>
      <c r="O72" s="260"/>
      <c r="P72" s="244"/>
      <c r="Q72" s="244"/>
      <c r="R72" s="244"/>
      <c r="S72" s="244"/>
      <c r="T72" s="244"/>
      <c r="U72" s="244"/>
      <c r="V72" s="244"/>
      <c r="W72" s="244"/>
      <c r="X72" s="244"/>
      <c r="Y72" s="244"/>
      <c r="Z72" s="244"/>
      <c r="AA72" s="244"/>
      <c r="AB72" s="244"/>
    </row>
    <row r="73" spans="1:28" ht="24" customHeight="1">
      <c r="A73" s="260"/>
      <c r="B73" s="261"/>
      <c r="C73" s="260"/>
      <c r="D73" s="260"/>
      <c r="E73" s="260"/>
      <c r="F73" s="260"/>
      <c r="G73" s="260"/>
      <c r="H73" s="260"/>
      <c r="I73" s="260"/>
      <c r="J73" s="260"/>
      <c r="K73" s="329"/>
      <c r="L73" s="260"/>
      <c r="M73" s="260"/>
      <c r="N73" s="260"/>
      <c r="O73" s="260"/>
      <c r="P73" s="244"/>
      <c r="Q73" s="244"/>
      <c r="R73" s="244"/>
      <c r="S73" s="244"/>
      <c r="T73" s="244"/>
      <c r="U73" s="244"/>
      <c r="V73" s="244"/>
      <c r="W73" s="244"/>
      <c r="X73" s="244"/>
      <c r="Y73" s="244"/>
      <c r="Z73" s="244"/>
      <c r="AA73" s="244"/>
      <c r="AB73" s="244"/>
    </row>
    <row r="74" spans="1:28" ht="24" customHeight="1">
      <c r="A74" s="260"/>
      <c r="B74" s="261"/>
      <c r="C74" s="260"/>
      <c r="D74" s="260"/>
      <c r="E74" s="260"/>
      <c r="F74" s="260"/>
      <c r="G74" s="260"/>
      <c r="H74" s="260"/>
      <c r="I74" s="260"/>
      <c r="J74" s="260"/>
      <c r="K74" s="329"/>
      <c r="L74" s="260"/>
      <c r="M74" s="260"/>
      <c r="N74" s="260"/>
      <c r="O74" s="260"/>
      <c r="P74" s="244"/>
      <c r="Q74" s="244"/>
      <c r="R74" s="244"/>
      <c r="S74" s="244"/>
      <c r="T74" s="244"/>
      <c r="U74" s="244"/>
      <c r="V74" s="244"/>
      <c r="W74" s="244"/>
      <c r="X74" s="244"/>
      <c r="Y74" s="244"/>
      <c r="Z74" s="244"/>
      <c r="AA74" s="244"/>
      <c r="AB74" s="244"/>
    </row>
    <row r="75" ht="24" customHeight="1">
      <c r="K75" s="330"/>
    </row>
  </sheetData>
  <sheetProtection/>
  <mergeCells count="3">
    <mergeCell ref="A4:A6"/>
    <mergeCell ref="B4:O4"/>
    <mergeCell ref="O3:P3"/>
  </mergeCells>
  <printOptions horizontalCentered="1" verticalCentered="1"/>
  <pageMargins left="0" right="0" top="0.2755905511811024" bottom="0.4724409448818898" header="0.35433070866141736" footer="0.35433070866141736"/>
  <pageSetup horizontalDpi="600" verticalDpi="600" orientation="landscape" pageOrder="overThenDown" paperSize="9" scale="7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AG75"/>
  <sheetViews>
    <sheetView zoomScale="150" zoomScaleNormal="150" zoomScalePageLayoutView="0" workbookViewId="0" topLeftCell="A2">
      <pane xSplit="1" ySplit="6" topLeftCell="B30" activePane="bottomRight" state="frozen"/>
      <selection pane="topLeft" activeCell="A2" sqref="A2"/>
      <selection pane="topRight" activeCell="B2" sqref="B2"/>
      <selection pane="bottomLeft" activeCell="A8" sqref="A8"/>
      <selection pane="bottomRight" activeCell="X68" sqref="X68"/>
    </sheetView>
  </sheetViews>
  <sheetFormatPr defaultColWidth="29.875" defaultRowHeight="15.75"/>
  <cols>
    <col min="1" max="1" width="10.125" style="44" customWidth="1"/>
    <col min="2" max="3" width="11.375" style="44" bestFit="1" customWidth="1"/>
    <col min="4" max="5" width="10.50390625" style="44" bestFit="1" customWidth="1"/>
    <col min="6" max="6" width="8.25390625" style="44" bestFit="1" customWidth="1"/>
    <col min="7" max="7" width="10.50390625" style="44" customWidth="1"/>
    <col min="8" max="9" width="10.50390625" style="44" bestFit="1" customWidth="1"/>
    <col min="10" max="10" width="11.375" style="44" bestFit="1" customWidth="1"/>
    <col min="11" max="11" width="12.00390625" style="44" bestFit="1" customWidth="1"/>
    <col min="12" max="12" width="9.75390625" style="44" bestFit="1" customWidth="1"/>
    <col min="13" max="14" width="10.50390625" style="44" bestFit="1" customWidth="1"/>
    <col min="15" max="15" width="11.125" style="44" customWidth="1"/>
    <col min="16" max="16" width="10.00390625" style="44" customWidth="1"/>
    <col min="17" max="18" width="10.50390625" style="44" bestFit="1" customWidth="1"/>
    <col min="19" max="19" width="9.75390625" style="44" bestFit="1" customWidth="1"/>
    <col min="20" max="20" width="10.125" style="44" customWidth="1"/>
    <col min="21" max="21" width="9.625" style="44" bestFit="1" customWidth="1"/>
    <col min="22" max="22" width="10.00390625" style="44" customWidth="1"/>
    <col min="23" max="23" width="9.125" style="44" customWidth="1"/>
    <col min="24" max="24" width="10.75390625" style="44" customWidth="1"/>
    <col min="25" max="25" width="10.375" style="44" customWidth="1"/>
    <col min="26" max="26" width="10.125" style="44" customWidth="1"/>
    <col min="27" max="27" width="9.125" style="44" customWidth="1"/>
    <col min="28" max="28" width="9.625" style="44" bestFit="1" customWidth="1"/>
    <col min="29" max="29" width="7.875" style="44" bestFit="1" customWidth="1"/>
    <col min="30" max="30" width="7.50390625" style="44" bestFit="1" customWidth="1"/>
    <col min="31" max="31" width="8.125" style="44" customWidth="1"/>
    <col min="32" max="16384" width="29.875" style="136" customWidth="1"/>
  </cols>
  <sheetData>
    <row r="1" spans="1:31" ht="15.75">
      <c r="A1" s="47"/>
      <c r="B1" s="47"/>
      <c r="C1" s="47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</row>
    <row r="2" spans="1:33" s="10" customFormat="1" ht="16.5">
      <c r="A2" s="216" t="s">
        <v>148</v>
      </c>
      <c r="B2" s="48"/>
      <c r="C2" s="43"/>
      <c r="D2" s="43"/>
      <c r="E2" s="43"/>
      <c r="F2" s="43"/>
      <c r="G2" s="43"/>
      <c r="H2" s="43"/>
      <c r="I2" s="43"/>
      <c r="K2" s="47"/>
      <c r="L2" s="47"/>
      <c r="M2" s="47"/>
      <c r="N2" s="47"/>
      <c r="O2" s="216" t="s">
        <v>153</v>
      </c>
      <c r="P2" s="43"/>
      <c r="Q2" s="43"/>
      <c r="R2" s="43"/>
      <c r="S2" s="43"/>
      <c r="T2" s="43"/>
      <c r="U2" s="43"/>
      <c r="V2" s="43"/>
      <c r="W2" s="47"/>
      <c r="X2" s="47"/>
      <c r="Y2" s="47"/>
      <c r="Z2" s="47"/>
      <c r="AA2" s="47"/>
      <c r="AB2" s="47"/>
      <c r="AC2" s="43"/>
      <c r="AD2" s="43"/>
      <c r="AE2" s="43"/>
      <c r="AF2" s="136"/>
      <c r="AG2" s="9"/>
    </row>
    <row r="3" spans="1:31" ht="15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C3" s="43"/>
      <c r="AD3" s="43"/>
      <c r="AE3" s="43"/>
    </row>
    <row r="4" spans="1:31" ht="15.75">
      <c r="A4" s="43"/>
      <c r="B4" s="43"/>
      <c r="C4" s="43"/>
      <c r="D4" s="43"/>
      <c r="E4" s="43"/>
      <c r="F4" s="43"/>
      <c r="G4" s="43"/>
      <c r="H4" s="43"/>
      <c r="I4" s="43"/>
      <c r="J4" s="43"/>
      <c r="K4" s="444" t="s">
        <v>185</v>
      </c>
      <c r="L4" s="444"/>
      <c r="M4" s="444"/>
      <c r="N4" s="444"/>
      <c r="O4" s="43"/>
      <c r="P4" s="43"/>
      <c r="Q4" s="43"/>
      <c r="W4" s="43"/>
      <c r="X4" s="43"/>
      <c r="Y4" s="43"/>
      <c r="Z4" s="43"/>
      <c r="AA4" s="136"/>
      <c r="AB4" s="68"/>
      <c r="AC4" s="43"/>
      <c r="AD4" s="43"/>
      <c r="AE4" s="68" t="s">
        <v>184</v>
      </c>
    </row>
    <row r="5" spans="1:31" s="8" customFormat="1" ht="14.25">
      <c r="A5" s="428" t="s">
        <v>98</v>
      </c>
      <c r="B5" s="428" t="s">
        <v>35</v>
      </c>
      <c r="C5" s="99" t="s">
        <v>30</v>
      </c>
      <c r="D5" s="100"/>
      <c r="E5" s="100"/>
      <c r="F5" s="101"/>
      <c r="G5" s="100"/>
      <c r="H5" s="99" t="s">
        <v>31</v>
      </c>
      <c r="I5" s="45"/>
      <c r="J5" s="451" t="s">
        <v>99</v>
      </c>
      <c r="K5" s="452"/>
      <c r="L5" s="452"/>
      <c r="M5" s="452"/>
      <c r="N5" s="453"/>
      <c r="O5" s="445" t="s">
        <v>32</v>
      </c>
      <c r="P5" s="446"/>
      <c r="Q5" s="446"/>
      <c r="R5" s="446"/>
      <c r="S5" s="446"/>
      <c r="T5" s="446"/>
      <c r="U5" s="447"/>
      <c r="V5" s="448"/>
      <c r="W5" s="428" t="s">
        <v>100</v>
      </c>
      <c r="X5" s="435" t="s">
        <v>101</v>
      </c>
      <c r="Y5" s="435"/>
      <c r="Z5" s="435"/>
      <c r="AA5" s="428" t="s">
        <v>33</v>
      </c>
      <c r="AB5" s="428" t="s">
        <v>34</v>
      </c>
      <c r="AC5" s="99" t="s">
        <v>102</v>
      </c>
      <c r="AD5" s="265"/>
      <c r="AE5" s="45"/>
    </row>
    <row r="6" spans="1:31" s="8" customFormat="1" ht="16.5">
      <c r="A6" s="434"/>
      <c r="B6" s="434"/>
      <c r="C6" s="428" t="s">
        <v>13</v>
      </c>
      <c r="D6" s="428" t="s">
        <v>103</v>
      </c>
      <c r="E6" s="428" t="s">
        <v>104</v>
      </c>
      <c r="F6" s="428" t="s">
        <v>36</v>
      </c>
      <c r="G6" s="428" t="s">
        <v>105</v>
      </c>
      <c r="H6" s="428" t="s">
        <v>13</v>
      </c>
      <c r="I6" s="428" t="s">
        <v>37</v>
      </c>
      <c r="J6" s="428" t="s">
        <v>13</v>
      </c>
      <c r="K6" s="432" t="s">
        <v>39</v>
      </c>
      <c r="L6" s="433"/>
      <c r="M6" s="432" t="s">
        <v>40</v>
      </c>
      <c r="N6" s="433"/>
      <c r="O6" s="430" t="s">
        <v>13</v>
      </c>
      <c r="P6" s="449" t="s">
        <v>82</v>
      </c>
      <c r="Q6" s="406"/>
      <c r="R6" s="449" t="s">
        <v>38</v>
      </c>
      <c r="S6" s="450" t="s">
        <v>38</v>
      </c>
      <c r="T6" s="454" t="s">
        <v>137</v>
      </c>
      <c r="U6" s="455"/>
      <c r="V6" s="181" t="s">
        <v>106</v>
      </c>
      <c r="W6" s="434"/>
      <c r="X6" s="435" t="s">
        <v>122</v>
      </c>
      <c r="Y6" s="435" t="s">
        <v>141</v>
      </c>
      <c r="Z6" s="435" t="s">
        <v>142</v>
      </c>
      <c r="AA6" s="440"/>
      <c r="AB6" s="440"/>
      <c r="AC6" s="438" t="s">
        <v>13</v>
      </c>
      <c r="AD6" s="442" t="s">
        <v>161</v>
      </c>
      <c r="AE6" s="436" t="s">
        <v>107</v>
      </c>
    </row>
    <row r="7" spans="1:31" s="8" customFormat="1" ht="14.25">
      <c r="A7" s="429"/>
      <c r="B7" s="429"/>
      <c r="C7" s="429"/>
      <c r="D7" s="429"/>
      <c r="E7" s="429"/>
      <c r="F7" s="429"/>
      <c r="G7" s="429"/>
      <c r="H7" s="429"/>
      <c r="I7" s="429"/>
      <c r="J7" s="429"/>
      <c r="K7" s="98" t="s">
        <v>141</v>
      </c>
      <c r="L7" s="98" t="s">
        <v>142</v>
      </c>
      <c r="M7" s="98" t="s">
        <v>141</v>
      </c>
      <c r="N7" s="98" t="s">
        <v>142</v>
      </c>
      <c r="O7" s="431"/>
      <c r="P7" s="97" t="s">
        <v>108</v>
      </c>
      <c r="Q7" s="97" t="s">
        <v>109</v>
      </c>
      <c r="R7" s="97" t="s">
        <v>108</v>
      </c>
      <c r="S7" s="97" t="s">
        <v>109</v>
      </c>
      <c r="T7" s="97" t="s">
        <v>108</v>
      </c>
      <c r="U7" s="97" t="s">
        <v>109</v>
      </c>
      <c r="V7" s="97" t="s">
        <v>142</v>
      </c>
      <c r="W7" s="429"/>
      <c r="X7" s="435"/>
      <c r="Y7" s="435"/>
      <c r="Z7" s="435"/>
      <c r="AA7" s="441"/>
      <c r="AB7" s="441"/>
      <c r="AC7" s="439"/>
      <c r="AD7" s="443"/>
      <c r="AE7" s="437"/>
    </row>
    <row r="8" spans="1:31" ht="15.75">
      <c r="A8" s="87" t="s">
        <v>110</v>
      </c>
      <c r="B8" s="95">
        <f>C8+H8+O8+J8+Y8+AA8+AB8+AC8</f>
        <v>187331867</v>
      </c>
      <c r="C8" s="95">
        <f>SUM(D8:G8)</f>
        <v>62400717</v>
      </c>
      <c r="D8" s="95">
        <v>42905980</v>
      </c>
      <c r="E8" s="95">
        <v>1963188</v>
      </c>
      <c r="F8" s="95">
        <v>184</v>
      </c>
      <c r="G8" s="95">
        <v>17531365</v>
      </c>
      <c r="H8" s="95">
        <f>SUM(I8)</f>
        <v>55617380</v>
      </c>
      <c r="I8" s="95">
        <v>55617380</v>
      </c>
      <c r="J8" s="95">
        <f>SUM(K8:M8)</f>
        <v>33619582</v>
      </c>
      <c r="K8" s="95">
        <v>32507805</v>
      </c>
      <c r="L8" s="189">
        <v>0</v>
      </c>
      <c r="M8" s="95">
        <v>1111777</v>
      </c>
      <c r="N8" s="189">
        <v>0</v>
      </c>
      <c r="O8" s="95">
        <f>SUM(P8:S8)</f>
        <v>8407571</v>
      </c>
      <c r="P8" s="95">
        <v>4346108</v>
      </c>
      <c r="Q8" s="95">
        <v>1408726</v>
      </c>
      <c r="R8" s="95">
        <v>2652737</v>
      </c>
      <c r="S8" s="46">
        <v>0</v>
      </c>
      <c r="T8" s="46">
        <v>0</v>
      </c>
      <c r="U8" s="46">
        <v>0</v>
      </c>
      <c r="V8" s="46">
        <v>0</v>
      </c>
      <c r="W8" s="46">
        <v>0</v>
      </c>
      <c r="X8" s="375">
        <f aca="true" t="shared" si="0" ref="X8:X13">Y8+Z8</f>
        <v>26620313</v>
      </c>
      <c r="Y8" s="266">
        <v>26620313</v>
      </c>
      <c r="Z8" s="189">
        <v>0</v>
      </c>
      <c r="AA8" s="95">
        <v>177494</v>
      </c>
      <c r="AB8" s="95">
        <v>321316</v>
      </c>
      <c r="AC8" s="95">
        <f>SUM(AE8:AE8)</f>
        <v>167494</v>
      </c>
      <c r="AD8" s="266"/>
      <c r="AE8" s="95">
        <v>167494</v>
      </c>
    </row>
    <row r="9" spans="1:31" ht="15.75">
      <c r="A9" s="87" t="s">
        <v>111</v>
      </c>
      <c r="B9" s="95">
        <v>239491978</v>
      </c>
      <c r="C9" s="95">
        <v>49162113</v>
      </c>
      <c r="D9" s="95">
        <v>46405980</v>
      </c>
      <c r="E9" s="95">
        <v>124288</v>
      </c>
      <c r="F9" s="95">
        <v>874</v>
      </c>
      <c r="G9" s="95">
        <v>2630971</v>
      </c>
      <c r="H9" s="95">
        <v>46634989</v>
      </c>
      <c r="I9" s="95">
        <v>46634989</v>
      </c>
      <c r="J9" s="95">
        <v>48033326</v>
      </c>
      <c r="K9" s="95">
        <v>43576232</v>
      </c>
      <c r="L9" s="189">
        <v>0</v>
      </c>
      <c r="M9" s="95">
        <v>4457094</v>
      </c>
      <c r="N9" s="189">
        <v>0</v>
      </c>
      <c r="O9" s="95">
        <v>15948932</v>
      </c>
      <c r="P9" s="95">
        <v>3768787</v>
      </c>
      <c r="Q9" s="95">
        <v>9309921</v>
      </c>
      <c r="R9" s="95">
        <v>1995964</v>
      </c>
      <c r="S9" s="95">
        <v>874260</v>
      </c>
      <c r="T9" s="46">
        <v>0</v>
      </c>
      <c r="U9" s="46">
        <v>0</v>
      </c>
      <c r="V9" s="46">
        <v>0</v>
      </c>
      <c r="W9" s="46">
        <v>0</v>
      </c>
      <c r="X9" s="46">
        <f t="shared" si="0"/>
        <v>79122980</v>
      </c>
      <c r="Y9" s="95">
        <v>79122980</v>
      </c>
      <c r="Z9" s="189">
        <v>0</v>
      </c>
      <c r="AA9" s="95">
        <v>112253</v>
      </c>
      <c r="AB9" s="95">
        <v>312142</v>
      </c>
      <c r="AC9" s="95">
        <v>165243</v>
      </c>
      <c r="AD9" s="95"/>
      <c r="AE9" s="95">
        <v>165243</v>
      </c>
    </row>
    <row r="10" spans="1:31" ht="15.75">
      <c r="A10" s="87" t="s">
        <v>112</v>
      </c>
      <c r="B10" s="135">
        <v>261107991</v>
      </c>
      <c r="C10" s="135">
        <v>82266663</v>
      </c>
      <c r="D10" s="135">
        <v>55958680</v>
      </c>
      <c r="E10" s="135">
        <v>12173014</v>
      </c>
      <c r="F10" s="135">
        <v>1247</v>
      </c>
      <c r="G10" s="135">
        <v>14133722</v>
      </c>
      <c r="H10" s="135">
        <v>47115324</v>
      </c>
      <c r="I10" s="135">
        <v>47115324</v>
      </c>
      <c r="J10" s="135">
        <v>48847567</v>
      </c>
      <c r="K10" s="135">
        <v>44990309</v>
      </c>
      <c r="L10" s="189">
        <v>0</v>
      </c>
      <c r="M10" s="135">
        <v>3857258</v>
      </c>
      <c r="N10" s="189">
        <v>0</v>
      </c>
      <c r="O10" s="135">
        <v>26616610</v>
      </c>
      <c r="P10" s="135">
        <v>13865971</v>
      </c>
      <c r="Q10" s="135">
        <v>9211838</v>
      </c>
      <c r="R10" s="135">
        <v>2724851</v>
      </c>
      <c r="S10" s="135">
        <v>813950</v>
      </c>
      <c r="T10" s="189">
        <v>0</v>
      </c>
      <c r="U10" s="189">
        <v>0</v>
      </c>
      <c r="V10" s="46">
        <v>0</v>
      </c>
      <c r="W10" s="135">
        <v>2535705</v>
      </c>
      <c r="X10" s="135">
        <f t="shared" si="0"/>
        <v>52900258</v>
      </c>
      <c r="Y10" s="135">
        <v>52900258</v>
      </c>
      <c r="Z10" s="189">
        <v>0</v>
      </c>
      <c r="AA10" s="135">
        <v>42579</v>
      </c>
      <c r="AB10" s="135">
        <v>619873</v>
      </c>
      <c r="AC10" s="135">
        <v>163412</v>
      </c>
      <c r="AD10" s="135"/>
      <c r="AE10" s="135">
        <v>163412</v>
      </c>
    </row>
    <row r="11" spans="1:33" ht="15.75">
      <c r="A11" s="87" t="s">
        <v>113</v>
      </c>
      <c r="B11" s="135">
        <v>301757042</v>
      </c>
      <c r="C11" s="135">
        <v>69383366</v>
      </c>
      <c r="D11" s="135">
        <v>52959320</v>
      </c>
      <c r="E11" s="135">
        <v>961633</v>
      </c>
      <c r="F11" s="189">
        <v>0</v>
      </c>
      <c r="G11" s="135">
        <v>15462413</v>
      </c>
      <c r="H11" s="135">
        <v>65353001</v>
      </c>
      <c r="I11" s="135">
        <v>65353001</v>
      </c>
      <c r="J11" s="135">
        <v>54831054</v>
      </c>
      <c r="K11" s="135">
        <v>49406210</v>
      </c>
      <c r="L11" s="189">
        <v>0</v>
      </c>
      <c r="M11" s="135">
        <v>5424844</v>
      </c>
      <c r="N11" s="189">
        <v>0</v>
      </c>
      <c r="O11" s="135">
        <v>36357986</v>
      </c>
      <c r="P11" s="135">
        <v>21408189</v>
      </c>
      <c r="Q11" s="135">
        <v>10052324</v>
      </c>
      <c r="R11" s="135">
        <v>1942455</v>
      </c>
      <c r="S11" s="174">
        <v>838877</v>
      </c>
      <c r="T11" s="189">
        <v>0</v>
      </c>
      <c r="U11" s="189">
        <v>0</v>
      </c>
      <c r="V11" s="46">
        <v>2116141</v>
      </c>
      <c r="W11" s="189">
        <v>0</v>
      </c>
      <c r="X11" s="135">
        <f t="shared" si="0"/>
        <v>73100038</v>
      </c>
      <c r="Y11" s="135">
        <v>73100038</v>
      </c>
      <c r="Z11" s="189">
        <v>0</v>
      </c>
      <c r="AA11" s="135">
        <v>1387815</v>
      </c>
      <c r="AB11" s="135">
        <v>1182560</v>
      </c>
      <c r="AC11" s="135">
        <v>161222</v>
      </c>
      <c r="AD11" s="135"/>
      <c r="AE11" s="135">
        <v>161222</v>
      </c>
      <c r="AF11" s="137"/>
      <c r="AG11" s="166"/>
    </row>
    <row r="12" spans="1:31" ht="15.75">
      <c r="A12" s="87" t="s">
        <v>136</v>
      </c>
      <c r="B12" s="135">
        <v>364911027</v>
      </c>
      <c r="C12" s="135">
        <v>100692669</v>
      </c>
      <c r="D12" s="135">
        <v>52322840</v>
      </c>
      <c r="E12" s="135">
        <v>222343</v>
      </c>
      <c r="F12" s="135">
        <v>26</v>
      </c>
      <c r="G12" s="135">
        <v>48147460</v>
      </c>
      <c r="H12" s="135">
        <v>43930399</v>
      </c>
      <c r="I12" s="135">
        <v>43930399</v>
      </c>
      <c r="J12" s="135">
        <v>64440425</v>
      </c>
      <c r="K12" s="135">
        <v>55960513</v>
      </c>
      <c r="L12" s="189">
        <v>0</v>
      </c>
      <c r="M12" s="135">
        <v>8479912</v>
      </c>
      <c r="N12" s="189">
        <v>0</v>
      </c>
      <c r="O12" s="135">
        <v>49911343</v>
      </c>
      <c r="P12" s="135">
        <v>19785608</v>
      </c>
      <c r="Q12" s="135">
        <v>18949635</v>
      </c>
      <c r="R12" s="135">
        <v>2378206</v>
      </c>
      <c r="S12" s="174">
        <v>830474</v>
      </c>
      <c r="T12" s="174">
        <v>1761811</v>
      </c>
      <c r="U12" s="46">
        <v>0</v>
      </c>
      <c r="V12" s="46">
        <v>6205609</v>
      </c>
      <c r="W12" s="189">
        <v>0</v>
      </c>
      <c r="X12" s="135">
        <f t="shared" si="0"/>
        <v>102070694</v>
      </c>
      <c r="Y12" s="135">
        <v>102070694</v>
      </c>
      <c r="Z12" s="189">
        <v>0</v>
      </c>
      <c r="AA12" s="135">
        <v>1841926</v>
      </c>
      <c r="AB12" s="135">
        <v>1863836</v>
      </c>
      <c r="AC12" s="135">
        <v>159735</v>
      </c>
      <c r="AD12" s="135"/>
      <c r="AE12" s="135">
        <v>159735</v>
      </c>
    </row>
    <row r="13" spans="1:31" s="67" customFormat="1" ht="14.25">
      <c r="A13" s="87" t="s">
        <v>138</v>
      </c>
      <c r="B13" s="135">
        <v>411336753</v>
      </c>
      <c r="C13" s="135">
        <v>51755485</v>
      </c>
      <c r="D13" s="135">
        <v>28725000</v>
      </c>
      <c r="E13" s="135">
        <v>522735</v>
      </c>
      <c r="F13" s="135">
        <v>270</v>
      </c>
      <c r="G13" s="135">
        <v>22507480</v>
      </c>
      <c r="H13" s="135">
        <v>26897470</v>
      </c>
      <c r="I13" s="135">
        <v>26897470</v>
      </c>
      <c r="J13" s="135">
        <v>93478585</v>
      </c>
      <c r="K13" s="135">
        <v>71423978</v>
      </c>
      <c r="L13" s="189">
        <v>0</v>
      </c>
      <c r="M13" s="135">
        <v>22054607</v>
      </c>
      <c r="N13" s="189">
        <v>0</v>
      </c>
      <c r="O13" s="135">
        <v>49842200</v>
      </c>
      <c r="P13" s="135">
        <v>15451581</v>
      </c>
      <c r="Q13" s="135">
        <v>17919536</v>
      </c>
      <c r="R13" s="135">
        <v>6034308</v>
      </c>
      <c r="S13" s="174">
        <v>823226</v>
      </c>
      <c r="T13" s="174">
        <v>3583172</v>
      </c>
      <c r="U13" s="46">
        <v>0</v>
      </c>
      <c r="V13" s="46">
        <v>6030377</v>
      </c>
      <c r="W13" s="135">
        <v>423353</v>
      </c>
      <c r="X13" s="135">
        <f t="shared" si="0"/>
        <v>185271066</v>
      </c>
      <c r="Y13" s="135">
        <v>185271066</v>
      </c>
      <c r="Z13" s="189">
        <v>0</v>
      </c>
      <c r="AA13" s="135">
        <v>2094981</v>
      </c>
      <c r="AB13" s="135">
        <v>1447537</v>
      </c>
      <c r="AC13" s="135">
        <v>126076</v>
      </c>
      <c r="AD13" s="135"/>
      <c r="AE13" s="135">
        <v>126076</v>
      </c>
    </row>
    <row r="14" spans="1:31" s="67" customFormat="1" ht="14.25">
      <c r="A14" s="87" t="s">
        <v>139</v>
      </c>
      <c r="B14" s="95">
        <f>C14+H14+J14+O14+W14+X14+AA14+AB14+AC14</f>
        <v>350904957</v>
      </c>
      <c r="C14" s="212">
        <v>67415184</v>
      </c>
      <c r="D14" s="212">
        <v>27187480</v>
      </c>
      <c r="E14" s="212">
        <v>227176</v>
      </c>
      <c r="F14" s="189">
        <v>0</v>
      </c>
      <c r="G14" s="212">
        <v>40000528</v>
      </c>
      <c r="H14" s="212">
        <v>57552828</v>
      </c>
      <c r="I14" s="212">
        <v>57552828</v>
      </c>
      <c r="J14" s="212">
        <v>57520813</v>
      </c>
      <c r="K14" s="213">
        <v>43125690</v>
      </c>
      <c r="L14" s="214">
        <v>3048822</v>
      </c>
      <c r="M14" s="212">
        <v>2798830</v>
      </c>
      <c r="N14" s="212">
        <v>8547471</v>
      </c>
      <c r="O14" s="212">
        <v>48345072</v>
      </c>
      <c r="P14" s="212">
        <v>12197628</v>
      </c>
      <c r="Q14" s="212">
        <v>13694916</v>
      </c>
      <c r="R14" s="212">
        <v>10610410</v>
      </c>
      <c r="S14" s="215">
        <v>827514</v>
      </c>
      <c r="T14" s="215">
        <v>5086882</v>
      </c>
      <c r="U14" s="189">
        <v>0</v>
      </c>
      <c r="V14" s="215">
        <v>5927722</v>
      </c>
      <c r="W14" s="215">
        <v>362870</v>
      </c>
      <c r="X14" s="215">
        <v>115434381</v>
      </c>
      <c r="Y14" s="212">
        <v>50316980</v>
      </c>
      <c r="Z14" s="212">
        <v>65117401</v>
      </c>
      <c r="AA14" s="212">
        <v>2430403</v>
      </c>
      <c r="AB14" s="212">
        <v>1747334</v>
      </c>
      <c r="AC14" s="212">
        <v>96072</v>
      </c>
      <c r="AD14" s="212"/>
      <c r="AE14" s="212">
        <v>96072</v>
      </c>
    </row>
    <row r="15" spans="1:31" s="67" customFormat="1" ht="14.25">
      <c r="A15" s="87" t="s">
        <v>144</v>
      </c>
      <c r="B15" s="95">
        <f>C15+H15+J15+O15+W15+X15+AA15+AB15+AC15</f>
        <v>455897576</v>
      </c>
      <c r="C15" s="222">
        <v>77877761</v>
      </c>
      <c r="D15" s="222">
        <v>25197500</v>
      </c>
      <c r="E15" s="222">
        <v>21072706</v>
      </c>
      <c r="F15" s="221">
        <v>570</v>
      </c>
      <c r="G15" s="222">
        <v>31606985</v>
      </c>
      <c r="H15" s="222">
        <v>62714529</v>
      </c>
      <c r="I15" s="222">
        <v>62714529</v>
      </c>
      <c r="J15" s="222">
        <v>87695868</v>
      </c>
      <c r="K15" s="223">
        <v>67185970</v>
      </c>
      <c r="L15" s="224">
        <v>3871042</v>
      </c>
      <c r="M15" s="222">
        <v>4896229</v>
      </c>
      <c r="N15" s="222">
        <v>11742627</v>
      </c>
      <c r="O15" s="222">
        <v>44878872</v>
      </c>
      <c r="P15" s="222">
        <v>7151774</v>
      </c>
      <c r="Q15" s="222">
        <v>12752696</v>
      </c>
      <c r="R15" s="222">
        <v>13955238</v>
      </c>
      <c r="S15" s="225">
        <v>488021</v>
      </c>
      <c r="T15" s="225">
        <v>5046200</v>
      </c>
      <c r="U15" s="189">
        <v>0</v>
      </c>
      <c r="V15" s="225">
        <v>5484943</v>
      </c>
      <c r="W15" s="225">
        <v>127237</v>
      </c>
      <c r="X15" s="225">
        <v>176080540</v>
      </c>
      <c r="Y15" s="222">
        <v>96961749</v>
      </c>
      <c r="Z15" s="222">
        <v>79118791</v>
      </c>
      <c r="AA15" s="222">
        <v>2774270</v>
      </c>
      <c r="AB15" s="222">
        <v>3653648</v>
      </c>
      <c r="AC15" s="222">
        <v>94851</v>
      </c>
      <c r="AD15" s="222"/>
      <c r="AE15" s="222">
        <v>94851</v>
      </c>
    </row>
    <row r="16" spans="1:31" s="67" customFormat="1" ht="14.25">
      <c r="A16" s="87" t="s">
        <v>158</v>
      </c>
      <c r="B16" s="95">
        <f>C16+H16+J16+O16+W16+X16+AA16+AB16+AC16</f>
        <v>496550194</v>
      </c>
      <c r="C16" s="222">
        <v>80402347</v>
      </c>
      <c r="D16" s="222">
        <v>26697500</v>
      </c>
      <c r="E16" s="222">
        <v>43583415</v>
      </c>
      <c r="F16" s="221">
        <v>2</v>
      </c>
      <c r="G16" s="222">
        <v>10121430</v>
      </c>
      <c r="H16" s="222">
        <v>56185461</v>
      </c>
      <c r="I16" s="222">
        <v>56185461</v>
      </c>
      <c r="J16" s="222">
        <v>98396360</v>
      </c>
      <c r="K16" s="223">
        <v>76631874</v>
      </c>
      <c r="L16" s="224">
        <v>4452461</v>
      </c>
      <c r="M16" s="222">
        <v>4392415</v>
      </c>
      <c r="N16" s="222">
        <v>12919610</v>
      </c>
      <c r="O16" s="222">
        <v>48067849</v>
      </c>
      <c r="P16" s="222">
        <v>3784161</v>
      </c>
      <c r="Q16" s="222">
        <v>14576998</v>
      </c>
      <c r="R16" s="222">
        <v>16786407</v>
      </c>
      <c r="S16" s="225">
        <v>445811</v>
      </c>
      <c r="T16" s="225">
        <v>7846675</v>
      </c>
      <c r="U16" s="46">
        <v>0</v>
      </c>
      <c r="V16" s="225">
        <v>4627797</v>
      </c>
      <c r="W16" s="189">
        <v>0</v>
      </c>
      <c r="X16" s="225">
        <v>204666085</v>
      </c>
      <c r="Y16" s="222">
        <v>92008940</v>
      </c>
      <c r="Z16" s="222">
        <v>112657145</v>
      </c>
      <c r="AA16" s="222">
        <v>3218008</v>
      </c>
      <c r="AB16" s="222">
        <v>5519925</v>
      </c>
      <c r="AC16" s="222">
        <v>94159</v>
      </c>
      <c r="AD16" s="222">
        <v>791</v>
      </c>
      <c r="AE16" s="222">
        <v>93368</v>
      </c>
    </row>
    <row r="17" spans="1:31" s="67" customFormat="1" ht="14.25">
      <c r="A17" s="270" t="s">
        <v>164</v>
      </c>
      <c r="B17" s="276">
        <v>482144650</v>
      </c>
      <c r="C17" s="222">
        <v>68932419</v>
      </c>
      <c r="D17" s="222">
        <v>34050000</v>
      </c>
      <c r="E17" s="222">
        <v>9309375</v>
      </c>
      <c r="F17" s="221">
        <v>3593</v>
      </c>
      <c r="G17" s="276">
        <v>25569451</v>
      </c>
      <c r="H17" s="222">
        <v>65132625</v>
      </c>
      <c r="I17" s="222">
        <v>65132625</v>
      </c>
      <c r="J17" s="222">
        <v>89992675</v>
      </c>
      <c r="K17" s="223">
        <v>69554154</v>
      </c>
      <c r="L17" s="277">
        <v>4287526</v>
      </c>
      <c r="M17" s="276">
        <v>4326761</v>
      </c>
      <c r="N17" s="222">
        <v>11824234</v>
      </c>
      <c r="O17" s="222">
        <v>58384598</v>
      </c>
      <c r="P17" s="222">
        <v>2203922</v>
      </c>
      <c r="Q17" s="222">
        <v>17879967</v>
      </c>
      <c r="R17" s="276">
        <v>19392170</v>
      </c>
      <c r="S17" s="225">
        <v>455858</v>
      </c>
      <c r="T17" s="225">
        <v>14075530</v>
      </c>
      <c r="U17" s="46">
        <v>0</v>
      </c>
      <c r="V17" s="225">
        <v>4377151</v>
      </c>
      <c r="W17" s="189">
        <v>0</v>
      </c>
      <c r="X17" s="225">
        <v>190415518</v>
      </c>
      <c r="Y17" s="222">
        <v>96543594</v>
      </c>
      <c r="Z17" s="222">
        <v>93871924</v>
      </c>
      <c r="AA17" s="276">
        <v>3807113</v>
      </c>
      <c r="AB17" s="222">
        <v>5387289</v>
      </c>
      <c r="AC17" s="222">
        <v>92413</v>
      </c>
      <c r="AD17" s="222">
        <v>385</v>
      </c>
      <c r="AE17" s="222">
        <v>92028</v>
      </c>
    </row>
    <row r="18" spans="1:31" s="67" customFormat="1" ht="11.25" hidden="1">
      <c r="A18" s="230" t="s">
        <v>163</v>
      </c>
      <c r="B18" s="229">
        <f aca="true" t="shared" si="1" ref="B18:B36">C18+H18+J18+O18+W18+X18+AA18+AB18+AC18</f>
        <v>486067953</v>
      </c>
      <c r="C18" s="190">
        <f aca="true" t="shared" si="2" ref="C18:C35">SUM(D18:G18)</f>
        <v>69130478</v>
      </c>
      <c r="D18" s="190">
        <v>27697500</v>
      </c>
      <c r="E18" s="190">
        <v>30655267</v>
      </c>
      <c r="F18" s="189">
        <v>2224</v>
      </c>
      <c r="G18" s="229">
        <v>10775487</v>
      </c>
      <c r="H18" s="190">
        <f aca="true" t="shared" si="3" ref="H18:H29">I18</f>
        <v>58643561</v>
      </c>
      <c r="I18" s="190">
        <v>58643561</v>
      </c>
      <c r="J18" s="190">
        <f aca="true" t="shared" si="4" ref="J18:J36">SUM(K18:N18)</f>
        <v>99759581</v>
      </c>
      <c r="K18" s="191">
        <v>78409195</v>
      </c>
      <c r="L18" s="228">
        <v>4607247</v>
      </c>
      <c r="M18" s="229">
        <v>4545759</v>
      </c>
      <c r="N18" s="190">
        <v>12197380</v>
      </c>
      <c r="O18" s="190">
        <f aca="true" t="shared" si="5" ref="O18:O35">SUM(P18:V18)</f>
        <v>46851320</v>
      </c>
      <c r="P18" s="190">
        <v>2680725</v>
      </c>
      <c r="Q18" s="190">
        <v>14283467</v>
      </c>
      <c r="R18" s="229">
        <v>17081578</v>
      </c>
      <c r="S18" s="192">
        <v>438648</v>
      </c>
      <c r="T18" s="192">
        <v>7846632</v>
      </c>
      <c r="U18" s="189">
        <v>0</v>
      </c>
      <c r="V18" s="192">
        <v>4520270</v>
      </c>
      <c r="W18" s="189">
        <v>0</v>
      </c>
      <c r="X18" s="192">
        <f aca="true" t="shared" si="6" ref="X18:X36">Y18+Z18</f>
        <v>205624773</v>
      </c>
      <c r="Y18" s="190">
        <v>92780488</v>
      </c>
      <c r="Z18" s="190">
        <v>112844285</v>
      </c>
      <c r="AA18" s="229">
        <v>371556</v>
      </c>
      <c r="AB18" s="190">
        <v>5593867</v>
      </c>
      <c r="AC18" s="190">
        <f aca="true" t="shared" si="7" ref="AC18:AC36">SUM(AD18:AE18)</f>
        <v>92817</v>
      </c>
      <c r="AD18" s="190">
        <v>789</v>
      </c>
      <c r="AE18" s="190">
        <v>92028</v>
      </c>
    </row>
    <row r="19" spans="1:31" s="67" customFormat="1" ht="11.25" hidden="1">
      <c r="A19" s="230" t="s">
        <v>165</v>
      </c>
      <c r="B19" s="229">
        <f t="shared" si="1"/>
        <v>492408382</v>
      </c>
      <c r="C19" s="190">
        <f t="shared" si="2"/>
        <v>49593007</v>
      </c>
      <c r="D19" s="190">
        <v>27697500</v>
      </c>
      <c r="E19" s="190">
        <v>10531917</v>
      </c>
      <c r="F19" s="189">
        <v>76</v>
      </c>
      <c r="G19" s="229">
        <v>11363514</v>
      </c>
      <c r="H19" s="190">
        <f t="shared" si="3"/>
        <v>58676298</v>
      </c>
      <c r="I19" s="190">
        <v>58676298</v>
      </c>
      <c r="J19" s="190">
        <f t="shared" si="4"/>
        <v>94928815</v>
      </c>
      <c r="K19" s="191">
        <v>72931165</v>
      </c>
      <c r="L19" s="228">
        <v>4660535</v>
      </c>
      <c r="M19" s="229">
        <v>4561779</v>
      </c>
      <c r="N19" s="190">
        <v>12775336</v>
      </c>
      <c r="O19" s="190">
        <f t="shared" si="5"/>
        <v>47795434</v>
      </c>
      <c r="P19" s="190">
        <v>2677951</v>
      </c>
      <c r="Q19" s="190">
        <v>14712609</v>
      </c>
      <c r="R19" s="229">
        <v>17481480</v>
      </c>
      <c r="S19" s="192">
        <v>451288</v>
      </c>
      <c r="T19" s="192">
        <v>7846591</v>
      </c>
      <c r="U19" s="189">
        <v>0</v>
      </c>
      <c r="V19" s="192">
        <v>4625515</v>
      </c>
      <c r="W19" s="189">
        <v>0</v>
      </c>
      <c r="X19" s="192">
        <f t="shared" si="6"/>
        <v>235808040</v>
      </c>
      <c r="Y19" s="190">
        <v>114244449</v>
      </c>
      <c r="Z19" s="190">
        <v>121563591</v>
      </c>
      <c r="AA19" s="229">
        <v>225894</v>
      </c>
      <c r="AB19" s="190">
        <v>5288077</v>
      </c>
      <c r="AC19" s="190">
        <f t="shared" si="7"/>
        <v>92817</v>
      </c>
      <c r="AD19" s="190">
        <v>789</v>
      </c>
      <c r="AE19" s="190">
        <v>92028</v>
      </c>
    </row>
    <row r="20" spans="1:31" s="67" customFormat="1" ht="11.25" hidden="1">
      <c r="A20" s="230" t="s">
        <v>166</v>
      </c>
      <c r="B20" s="229">
        <f t="shared" si="1"/>
        <v>501161103</v>
      </c>
      <c r="C20" s="190">
        <f t="shared" si="2"/>
        <v>47390011</v>
      </c>
      <c r="D20" s="190">
        <v>28697500</v>
      </c>
      <c r="E20" s="190">
        <v>7917184</v>
      </c>
      <c r="F20" s="189">
        <v>94</v>
      </c>
      <c r="G20" s="229">
        <v>10775233</v>
      </c>
      <c r="H20" s="190">
        <f t="shared" si="3"/>
        <v>59123909</v>
      </c>
      <c r="I20" s="190">
        <v>59123909</v>
      </c>
      <c r="J20" s="190">
        <f t="shared" si="4"/>
        <v>98317691</v>
      </c>
      <c r="K20" s="191">
        <v>76235692</v>
      </c>
      <c r="L20" s="228">
        <v>4686299</v>
      </c>
      <c r="M20" s="229">
        <v>4686518</v>
      </c>
      <c r="N20" s="190">
        <v>12709182</v>
      </c>
      <c r="O20" s="190">
        <f t="shared" si="5"/>
        <v>51094859</v>
      </c>
      <c r="P20" s="190">
        <v>2674746</v>
      </c>
      <c r="Q20" s="190">
        <v>15786731</v>
      </c>
      <c r="R20" s="229">
        <v>17681009</v>
      </c>
      <c r="S20" s="192">
        <v>444882</v>
      </c>
      <c r="T20" s="192">
        <v>9972186</v>
      </c>
      <c r="U20" s="189">
        <v>0</v>
      </c>
      <c r="V20" s="192">
        <v>4535305</v>
      </c>
      <c r="W20" s="189">
        <v>0</v>
      </c>
      <c r="X20" s="192">
        <f t="shared" si="6"/>
        <v>239361895</v>
      </c>
      <c r="Y20" s="190">
        <v>114594240</v>
      </c>
      <c r="Z20" s="190">
        <v>124767655</v>
      </c>
      <c r="AA20" s="229">
        <v>117578</v>
      </c>
      <c r="AB20" s="190">
        <v>5662363</v>
      </c>
      <c r="AC20" s="190">
        <f t="shared" si="7"/>
        <v>92797</v>
      </c>
      <c r="AD20" s="190">
        <v>769</v>
      </c>
      <c r="AE20" s="190">
        <v>92028</v>
      </c>
    </row>
    <row r="21" spans="1:31" s="67" customFormat="1" ht="11.25" hidden="1">
      <c r="A21" s="230" t="s">
        <v>167</v>
      </c>
      <c r="B21" s="229">
        <f t="shared" si="1"/>
        <v>506391924</v>
      </c>
      <c r="C21" s="190">
        <f t="shared" si="2"/>
        <v>56886412</v>
      </c>
      <c r="D21" s="190">
        <v>30347500</v>
      </c>
      <c r="E21" s="190">
        <v>15303659</v>
      </c>
      <c r="F21" s="189">
        <v>733</v>
      </c>
      <c r="G21" s="229">
        <v>11234520</v>
      </c>
      <c r="H21" s="190">
        <f t="shared" si="3"/>
        <v>59091615</v>
      </c>
      <c r="I21" s="190">
        <v>59091615</v>
      </c>
      <c r="J21" s="190">
        <f t="shared" si="4"/>
        <v>99191095</v>
      </c>
      <c r="K21" s="191">
        <v>76961337</v>
      </c>
      <c r="L21" s="228">
        <v>4595595</v>
      </c>
      <c r="M21" s="229">
        <v>4811721</v>
      </c>
      <c r="N21" s="190">
        <v>12822442</v>
      </c>
      <c r="O21" s="190">
        <f t="shared" si="5"/>
        <v>51772224</v>
      </c>
      <c r="P21" s="190">
        <v>2671455</v>
      </c>
      <c r="Q21" s="190">
        <v>15907941</v>
      </c>
      <c r="R21" s="229">
        <v>17628544</v>
      </c>
      <c r="S21" s="192">
        <v>432976</v>
      </c>
      <c r="T21" s="192">
        <v>10736559</v>
      </c>
      <c r="U21" s="189">
        <v>0</v>
      </c>
      <c r="V21" s="192">
        <v>4394749</v>
      </c>
      <c r="W21" s="189">
        <v>0</v>
      </c>
      <c r="X21" s="192">
        <f t="shared" si="6"/>
        <v>233507454</v>
      </c>
      <c r="Y21" s="190">
        <v>111819319</v>
      </c>
      <c r="Z21" s="190">
        <v>121688135</v>
      </c>
      <c r="AA21" s="229">
        <v>63836</v>
      </c>
      <c r="AB21" s="190">
        <v>5786491</v>
      </c>
      <c r="AC21" s="190">
        <f t="shared" si="7"/>
        <v>92797</v>
      </c>
      <c r="AD21" s="190">
        <v>769</v>
      </c>
      <c r="AE21" s="190">
        <v>92028</v>
      </c>
    </row>
    <row r="22" spans="1:31" s="67" customFormat="1" ht="11.25" hidden="1">
      <c r="A22" s="230" t="s">
        <v>168</v>
      </c>
      <c r="B22" s="229">
        <f t="shared" si="1"/>
        <v>509017891</v>
      </c>
      <c r="C22" s="190">
        <f t="shared" si="2"/>
        <v>56244041</v>
      </c>
      <c r="D22" s="190">
        <v>31347500</v>
      </c>
      <c r="E22" s="190">
        <v>13399145</v>
      </c>
      <c r="F22" s="189">
        <v>41</v>
      </c>
      <c r="G22" s="229">
        <v>11497355</v>
      </c>
      <c r="H22" s="190">
        <f t="shared" si="3"/>
        <v>61968223</v>
      </c>
      <c r="I22" s="190">
        <v>61968223</v>
      </c>
      <c r="J22" s="190">
        <f t="shared" si="4"/>
        <v>101718974</v>
      </c>
      <c r="K22" s="191">
        <v>79611826</v>
      </c>
      <c r="L22" s="228">
        <v>4539031</v>
      </c>
      <c r="M22" s="229">
        <v>4947547</v>
      </c>
      <c r="N22" s="190">
        <v>12620570</v>
      </c>
      <c r="O22" s="190">
        <f t="shared" si="5"/>
        <v>52393828</v>
      </c>
      <c r="P22" s="190">
        <v>2667915</v>
      </c>
      <c r="Q22" s="190">
        <v>15749529</v>
      </c>
      <c r="R22" s="229">
        <v>17816841</v>
      </c>
      <c r="S22" s="192">
        <v>432464</v>
      </c>
      <c r="T22" s="192">
        <v>11356814</v>
      </c>
      <c r="U22" s="189">
        <v>0</v>
      </c>
      <c r="V22" s="192">
        <v>4370265</v>
      </c>
      <c r="W22" s="189">
        <v>0</v>
      </c>
      <c r="X22" s="192">
        <f t="shared" si="6"/>
        <v>230830067</v>
      </c>
      <c r="Y22" s="190">
        <v>112244075</v>
      </c>
      <c r="Z22" s="190">
        <v>118585992</v>
      </c>
      <c r="AA22" s="229">
        <v>140798</v>
      </c>
      <c r="AB22" s="190">
        <v>5629359</v>
      </c>
      <c r="AC22" s="190">
        <f t="shared" si="7"/>
        <v>92601</v>
      </c>
      <c r="AD22" s="190">
        <v>573</v>
      </c>
      <c r="AE22" s="190">
        <v>92028</v>
      </c>
    </row>
    <row r="23" spans="1:31" s="67" customFormat="1" ht="11.25" hidden="1">
      <c r="A23" s="230" t="s">
        <v>170</v>
      </c>
      <c r="B23" s="229">
        <f t="shared" si="1"/>
        <v>504791821</v>
      </c>
      <c r="C23" s="190">
        <f t="shared" si="2"/>
        <v>55259491</v>
      </c>
      <c r="D23" s="190">
        <v>31847500</v>
      </c>
      <c r="E23" s="190">
        <v>11933233</v>
      </c>
      <c r="F23" s="189">
        <v>10583</v>
      </c>
      <c r="G23" s="229">
        <v>11468175</v>
      </c>
      <c r="H23" s="190">
        <f t="shared" si="3"/>
        <v>60753449</v>
      </c>
      <c r="I23" s="190">
        <v>60753449</v>
      </c>
      <c r="J23" s="190">
        <f t="shared" si="4"/>
        <v>101059614</v>
      </c>
      <c r="K23" s="191">
        <v>78551649</v>
      </c>
      <c r="L23" s="228">
        <v>4604195</v>
      </c>
      <c r="M23" s="229">
        <v>5221428</v>
      </c>
      <c r="N23" s="190">
        <v>12682342</v>
      </c>
      <c r="O23" s="190">
        <f t="shared" si="5"/>
        <v>53818609</v>
      </c>
      <c r="P23" s="190">
        <v>2664875</v>
      </c>
      <c r="Q23" s="190">
        <v>15669972</v>
      </c>
      <c r="R23" s="229">
        <v>18820317</v>
      </c>
      <c r="S23" s="192">
        <v>434447</v>
      </c>
      <c r="T23" s="192">
        <v>11856076</v>
      </c>
      <c r="U23" s="189">
        <v>0</v>
      </c>
      <c r="V23" s="192">
        <v>4372922</v>
      </c>
      <c r="W23" s="189">
        <v>0</v>
      </c>
      <c r="X23" s="192">
        <f t="shared" si="6"/>
        <v>224340743</v>
      </c>
      <c r="Y23" s="190">
        <v>109280289</v>
      </c>
      <c r="Z23" s="190">
        <v>115060454</v>
      </c>
      <c r="AA23" s="229">
        <v>3572534</v>
      </c>
      <c r="AB23" s="190">
        <v>5894781</v>
      </c>
      <c r="AC23" s="190">
        <f t="shared" si="7"/>
        <v>92600</v>
      </c>
      <c r="AD23" s="190">
        <v>572</v>
      </c>
      <c r="AE23" s="190">
        <v>92028</v>
      </c>
    </row>
    <row r="24" spans="1:31" s="67" customFormat="1" ht="11.25" hidden="1">
      <c r="A24" s="230" t="s">
        <v>171</v>
      </c>
      <c r="B24" s="229">
        <f t="shared" si="1"/>
        <v>494765905</v>
      </c>
      <c r="C24" s="190">
        <f t="shared" si="2"/>
        <v>85542120</v>
      </c>
      <c r="D24" s="190">
        <v>32350000</v>
      </c>
      <c r="E24" s="190">
        <v>4649078</v>
      </c>
      <c r="F24" s="189">
        <v>184774</v>
      </c>
      <c r="G24" s="229">
        <v>48358268</v>
      </c>
      <c r="H24" s="190">
        <f t="shared" si="3"/>
        <v>55208327</v>
      </c>
      <c r="I24" s="190">
        <v>55208327</v>
      </c>
      <c r="J24" s="190">
        <f t="shared" si="4"/>
        <v>99938669</v>
      </c>
      <c r="K24" s="191">
        <v>77416531</v>
      </c>
      <c r="L24" s="228">
        <v>4526920</v>
      </c>
      <c r="M24" s="229">
        <v>5153741</v>
      </c>
      <c r="N24" s="190">
        <v>12841477</v>
      </c>
      <c r="O24" s="190">
        <f t="shared" si="5"/>
        <v>55019202</v>
      </c>
      <c r="P24" s="190">
        <v>2661578</v>
      </c>
      <c r="Q24" s="190">
        <v>16214098</v>
      </c>
      <c r="R24" s="229">
        <v>19497567</v>
      </c>
      <c r="S24" s="192">
        <v>434765</v>
      </c>
      <c r="T24" s="192">
        <v>11855313</v>
      </c>
      <c r="U24" s="189">
        <v>0</v>
      </c>
      <c r="V24" s="192">
        <v>4355881</v>
      </c>
      <c r="W24" s="189">
        <v>0</v>
      </c>
      <c r="X24" s="192">
        <f t="shared" si="6"/>
        <v>190621433</v>
      </c>
      <c r="Y24" s="190">
        <v>112530400</v>
      </c>
      <c r="Z24" s="190">
        <v>78091033</v>
      </c>
      <c r="AA24" s="229">
        <v>1008549</v>
      </c>
      <c r="AB24" s="190">
        <v>7335004</v>
      </c>
      <c r="AC24" s="190">
        <f t="shared" si="7"/>
        <v>92601</v>
      </c>
      <c r="AD24" s="190">
        <v>573</v>
      </c>
      <c r="AE24" s="190">
        <v>92028</v>
      </c>
    </row>
    <row r="25" spans="1:31" s="67" customFormat="1" ht="11.25" hidden="1">
      <c r="A25" s="230" t="s">
        <v>172</v>
      </c>
      <c r="B25" s="229">
        <f t="shared" si="1"/>
        <v>477895221</v>
      </c>
      <c r="C25" s="190">
        <f t="shared" si="2"/>
        <v>59635995</v>
      </c>
      <c r="D25" s="190">
        <v>32550000</v>
      </c>
      <c r="E25" s="190">
        <v>7697421</v>
      </c>
      <c r="F25" s="189">
        <v>41181</v>
      </c>
      <c r="G25" s="229">
        <v>19347393</v>
      </c>
      <c r="H25" s="190">
        <f t="shared" si="3"/>
        <v>56672129</v>
      </c>
      <c r="I25" s="190">
        <v>56672129</v>
      </c>
      <c r="J25" s="190">
        <f t="shared" si="4"/>
        <v>93633843</v>
      </c>
      <c r="K25" s="191">
        <v>71872244</v>
      </c>
      <c r="L25" s="228">
        <v>4428462</v>
      </c>
      <c r="M25" s="229">
        <v>5039965</v>
      </c>
      <c r="N25" s="190">
        <v>12293172</v>
      </c>
      <c r="O25" s="190">
        <f t="shared" si="5"/>
        <v>54419515</v>
      </c>
      <c r="P25" s="190">
        <v>2209473</v>
      </c>
      <c r="Q25" s="190">
        <v>16220664</v>
      </c>
      <c r="R25" s="229">
        <v>19342829</v>
      </c>
      <c r="S25" s="192">
        <v>437871</v>
      </c>
      <c r="T25" s="192">
        <v>11854550</v>
      </c>
      <c r="U25" s="189">
        <v>0</v>
      </c>
      <c r="V25" s="192">
        <v>4354128</v>
      </c>
      <c r="W25" s="189">
        <v>0</v>
      </c>
      <c r="X25" s="192">
        <f t="shared" si="6"/>
        <v>206880758</v>
      </c>
      <c r="Y25" s="190">
        <v>104151813</v>
      </c>
      <c r="Z25" s="190">
        <v>102728945</v>
      </c>
      <c r="AA25" s="229">
        <v>175799</v>
      </c>
      <c r="AB25" s="190">
        <v>6384581</v>
      </c>
      <c r="AC25" s="190">
        <f t="shared" si="7"/>
        <v>92601</v>
      </c>
      <c r="AD25" s="190">
        <v>573</v>
      </c>
      <c r="AE25" s="190">
        <v>92028</v>
      </c>
    </row>
    <row r="26" spans="1:31" s="67" customFormat="1" ht="11.25" hidden="1">
      <c r="A26" s="230" t="s">
        <v>173</v>
      </c>
      <c r="B26" s="229">
        <f t="shared" si="1"/>
        <v>467164293</v>
      </c>
      <c r="C26" s="190">
        <f t="shared" si="2"/>
        <v>59677588</v>
      </c>
      <c r="D26" s="190">
        <v>33550000</v>
      </c>
      <c r="E26" s="190">
        <v>6242984</v>
      </c>
      <c r="F26" s="189">
        <v>50603</v>
      </c>
      <c r="G26" s="229">
        <v>19834001</v>
      </c>
      <c r="H26" s="190">
        <f t="shared" si="3"/>
        <v>60573768</v>
      </c>
      <c r="I26" s="190">
        <v>60573768</v>
      </c>
      <c r="J26" s="190">
        <f t="shared" si="4"/>
        <v>89796447</v>
      </c>
      <c r="K26" s="191">
        <v>69610810</v>
      </c>
      <c r="L26" s="228">
        <v>4114571</v>
      </c>
      <c r="M26" s="229">
        <v>4523597</v>
      </c>
      <c r="N26" s="190">
        <v>11547469</v>
      </c>
      <c r="O26" s="190">
        <f t="shared" si="5"/>
        <v>55938271</v>
      </c>
      <c r="P26" s="190">
        <v>2208775</v>
      </c>
      <c r="Q26" s="190">
        <v>17465618</v>
      </c>
      <c r="R26" s="229">
        <v>19116154</v>
      </c>
      <c r="S26" s="192">
        <v>460045</v>
      </c>
      <c r="T26" s="192">
        <v>12153812</v>
      </c>
      <c r="U26" s="189">
        <v>0</v>
      </c>
      <c r="V26" s="192">
        <v>4533867</v>
      </c>
      <c r="W26" s="189">
        <v>0</v>
      </c>
      <c r="X26" s="192">
        <f t="shared" si="6"/>
        <v>195113169</v>
      </c>
      <c r="Y26" s="190">
        <v>99313167</v>
      </c>
      <c r="Z26" s="190">
        <v>95800002</v>
      </c>
      <c r="AA26" s="229">
        <v>113358</v>
      </c>
      <c r="AB26" s="190">
        <v>5859127</v>
      </c>
      <c r="AC26" s="190">
        <f t="shared" si="7"/>
        <v>92565</v>
      </c>
      <c r="AD26" s="190">
        <v>537</v>
      </c>
      <c r="AE26" s="190">
        <v>92028</v>
      </c>
    </row>
    <row r="27" spans="1:31" s="67" customFormat="1" ht="11.25" hidden="1">
      <c r="A27" s="230" t="s">
        <v>175</v>
      </c>
      <c r="B27" s="229">
        <f t="shared" si="1"/>
        <v>486686993</v>
      </c>
      <c r="C27" s="190">
        <f t="shared" si="2"/>
        <v>59232339</v>
      </c>
      <c r="D27" s="190">
        <v>33550000</v>
      </c>
      <c r="E27" s="190">
        <v>7180801</v>
      </c>
      <c r="F27" s="189">
        <v>189</v>
      </c>
      <c r="G27" s="229">
        <v>18501349</v>
      </c>
      <c r="H27" s="190">
        <f t="shared" si="3"/>
        <v>65688303</v>
      </c>
      <c r="I27" s="190">
        <v>65688303</v>
      </c>
      <c r="J27" s="190">
        <f t="shared" si="4"/>
        <v>92122787</v>
      </c>
      <c r="K27" s="191">
        <v>70439256</v>
      </c>
      <c r="L27" s="228">
        <v>4458449</v>
      </c>
      <c r="M27" s="229">
        <v>4735943</v>
      </c>
      <c r="N27" s="190">
        <v>12489139</v>
      </c>
      <c r="O27" s="190">
        <f t="shared" si="5"/>
        <v>56641438</v>
      </c>
      <c r="P27" s="190">
        <v>2207306</v>
      </c>
      <c r="Q27" s="190">
        <v>17924616</v>
      </c>
      <c r="R27" s="229">
        <v>19014387</v>
      </c>
      <c r="S27" s="192">
        <v>448527</v>
      </c>
      <c r="T27" s="192">
        <v>12658952</v>
      </c>
      <c r="U27" s="189">
        <v>0</v>
      </c>
      <c r="V27" s="192">
        <v>4387650</v>
      </c>
      <c r="W27" s="189">
        <v>0</v>
      </c>
      <c r="X27" s="192">
        <f t="shared" si="6"/>
        <v>206868045</v>
      </c>
      <c r="Y27" s="190">
        <v>101043055</v>
      </c>
      <c r="Z27" s="190">
        <v>105824990</v>
      </c>
      <c r="AA27" s="229">
        <v>100169</v>
      </c>
      <c r="AB27" s="190">
        <v>5941347</v>
      </c>
      <c r="AC27" s="190">
        <f t="shared" si="7"/>
        <v>92565</v>
      </c>
      <c r="AD27" s="190">
        <v>537</v>
      </c>
      <c r="AE27" s="190">
        <v>92028</v>
      </c>
    </row>
    <row r="28" spans="1:31" s="67" customFormat="1" ht="11.25" hidden="1">
      <c r="A28" s="230" t="s">
        <v>177</v>
      </c>
      <c r="B28" s="229">
        <f t="shared" si="1"/>
        <v>476389016</v>
      </c>
      <c r="C28" s="190">
        <f t="shared" si="2"/>
        <v>61935871</v>
      </c>
      <c r="D28" s="190">
        <v>37050000</v>
      </c>
      <c r="E28" s="190">
        <v>5971082</v>
      </c>
      <c r="F28" s="189">
        <v>10533</v>
      </c>
      <c r="G28" s="229">
        <v>18904256</v>
      </c>
      <c r="H28" s="190">
        <f t="shared" si="3"/>
        <v>67853246</v>
      </c>
      <c r="I28" s="190">
        <v>67853246</v>
      </c>
      <c r="J28" s="190">
        <f t="shared" si="4"/>
        <v>86016510</v>
      </c>
      <c r="K28" s="191">
        <v>65307494</v>
      </c>
      <c r="L28" s="228">
        <v>4474097</v>
      </c>
      <c r="M28" s="229">
        <v>4347025</v>
      </c>
      <c r="N28" s="190">
        <v>11887894</v>
      </c>
      <c r="O28" s="190">
        <f t="shared" si="5"/>
        <v>57437587</v>
      </c>
      <c r="P28" s="190">
        <v>2205217</v>
      </c>
      <c r="Q28" s="190">
        <v>17872021</v>
      </c>
      <c r="R28" s="229">
        <v>18916433</v>
      </c>
      <c r="S28" s="192">
        <v>456451</v>
      </c>
      <c r="T28" s="192">
        <v>13558130</v>
      </c>
      <c r="U28" s="189">
        <v>0</v>
      </c>
      <c r="V28" s="192">
        <v>4429335</v>
      </c>
      <c r="W28" s="189">
        <v>0</v>
      </c>
      <c r="X28" s="192">
        <f t="shared" si="6"/>
        <v>197542715</v>
      </c>
      <c r="Y28" s="190">
        <v>95728428</v>
      </c>
      <c r="Z28" s="190">
        <v>101814287</v>
      </c>
      <c r="AA28" s="229">
        <v>93026</v>
      </c>
      <c r="AB28" s="190">
        <v>5417496</v>
      </c>
      <c r="AC28" s="190">
        <f t="shared" si="7"/>
        <v>92565</v>
      </c>
      <c r="AD28" s="190">
        <v>537</v>
      </c>
      <c r="AE28" s="190">
        <v>92028</v>
      </c>
    </row>
    <row r="29" spans="1:31" s="67" customFormat="1" ht="11.25" hidden="1">
      <c r="A29" s="230" t="s">
        <v>178</v>
      </c>
      <c r="B29" s="229">
        <f t="shared" si="1"/>
        <v>482144650</v>
      </c>
      <c r="C29" s="190">
        <f t="shared" si="2"/>
        <v>68932419</v>
      </c>
      <c r="D29" s="190">
        <v>34050000</v>
      </c>
      <c r="E29" s="190">
        <v>9309375</v>
      </c>
      <c r="F29" s="189">
        <v>3593</v>
      </c>
      <c r="G29" s="229">
        <v>25569451</v>
      </c>
      <c r="H29" s="190">
        <f t="shared" si="3"/>
        <v>65132625</v>
      </c>
      <c r="I29" s="190">
        <v>65132625</v>
      </c>
      <c r="J29" s="190">
        <f t="shared" si="4"/>
        <v>89992675</v>
      </c>
      <c r="K29" s="191">
        <v>69554154</v>
      </c>
      <c r="L29" s="228">
        <v>4287526</v>
      </c>
      <c r="M29" s="229">
        <v>4326761</v>
      </c>
      <c r="N29" s="190">
        <v>11824234</v>
      </c>
      <c r="O29" s="190">
        <f t="shared" si="5"/>
        <v>58384598</v>
      </c>
      <c r="P29" s="190">
        <v>2203922</v>
      </c>
      <c r="Q29" s="190">
        <v>17879967</v>
      </c>
      <c r="R29" s="229">
        <v>19392170</v>
      </c>
      <c r="S29" s="192">
        <v>455858</v>
      </c>
      <c r="T29" s="192">
        <v>14075530</v>
      </c>
      <c r="U29" s="189">
        <v>0</v>
      </c>
      <c r="V29" s="192">
        <v>4377151</v>
      </c>
      <c r="W29" s="189">
        <v>0</v>
      </c>
      <c r="X29" s="192">
        <f t="shared" si="6"/>
        <v>190415518</v>
      </c>
      <c r="Y29" s="190">
        <v>96543594</v>
      </c>
      <c r="Z29" s="190">
        <v>93871924</v>
      </c>
      <c r="AA29" s="229">
        <v>3807113</v>
      </c>
      <c r="AB29" s="190">
        <v>5387289</v>
      </c>
      <c r="AC29" s="190">
        <f t="shared" si="7"/>
        <v>92413</v>
      </c>
      <c r="AD29" s="190">
        <v>385</v>
      </c>
      <c r="AE29" s="190">
        <v>92028</v>
      </c>
    </row>
    <row r="30" spans="1:31" s="67" customFormat="1" ht="14.25">
      <c r="A30" s="270" t="s">
        <v>181</v>
      </c>
      <c r="B30" s="276">
        <f>B42</f>
        <v>519273738</v>
      </c>
      <c r="C30" s="276">
        <f aca="true" t="shared" si="8" ref="C30:AE30">C42</f>
        <v>87602716</v>
      </c>
      <c r="D30" s="276">
        <f t="shared" si="8"/>
        <v>39950000</v>
      </c>
      <c r="E30" s="276">
        <f t="shared" si="8"/>
        <v>22043106</v>
      </c>
      <c r="F30" s="276">
        <f t="shared" si="8"/>
        <v>610</v>
      </c>
      <c r="G30" s="276">
        <f t="shared" si="8"/>
        <v>25609000</v>
      </c>
      <c r="H30" s="276">
        <f t="shared" si="8"/>
        <v>71333478</v>
      </c>
      <c r="I30" s="276">
        <f t="shared" si="8"/>
        <v>71333478</v>
      </c>
      <c r="J30" s="276">
        <f t="shared" si="8"/>
        <v>103152534</v>
      </c>
      <c r="K30" s="276">
        <f t="shared" si="8"/>
        <v>81723954</v>
      </c>
      <c r="L30" s="276">
        <f t="shared" si="8"/>
        <v>3955435</v>
      </c>
      <c r="M30" s="276">
        <f t="shared" si="8"/>
        <v>4714190</v>
      </c>
      <c r="N30" s="276">
        <f t="shared" si="8"/>
        <v>12758955</v>
      </c>
      <c r="O30" s="276">
        <f t="shared" si="8"/>
        <v>69636432</v>
      </c>
      <c r="P30" s="276">
        <f t="shared" si="8"/>
        <v>1690908</v>
      </c>
      <c r="Q30" s="276">
        <f t="shared" si="8"/>
        <v>19380202</v>
      </c>
      <c r="R30" s="276">
        <f t="shared" si="8"/>
        <v>21107222</v>
      </c>
      <c r="S30" s="276">
        <f t="shared" si="8"/>
        <v>435585</v>
      </c>
      <c r="T30" s="276">
        <f t="shared" si="8"/>
        <v>23604988</v>
      </c>
      <c r="U30" s="189">
        <v>0</v>
      </c>
      <c r="V30" s="276">
        <f t="shared" si="8"/>
        <v>3417527</v>
      </c>
      <c r="W30" s="189">
        <v>0</v>
      </c>
      <c r="X30" s="276">
        <f t="shared" si="8"/>
        <v>177773158</v>
      </c>
      <c r="Y30" s="276">
        <f t="shared" si="8"/>
        <v>71739072</v>
      </c>
      <c r="Z30" s="276">
        <f t="shared" si="8"/>
        <v>106034086</v>
      </c>
      <c r="AA30" s="276">
        <f t="shared" si="8"/>
        <v>4367350</v>
      </c>
      <c r="AB30" s="276">
        <f t="shared" si="8"/>
        <v>5408070</v>
      </c>
      <c r="AC30" s="294">
        <f t="shared" si="8"/>
        <v>0</v>
      </c>
      <c r="AD30" s="294">
        <f t="shared" si="8"/>
        <v>0</v>
      </c>
      <c r="AE30" s="294">
        <f t="shared" si="8"/>
        <v>0</v>
      </c>
    </row>
    <row r="31" spans="1:31" s="67" customFormat="1" ht="11.25" hidden="1">
      <c r="A31" s="230" t="s">
        <v>179</v>
      </c>
      <c r="B31" s="229">
        <f>C31+H31+J31+O31+W31+X31+AA31+AB31+AC31</f>
        <v>481723433</v>
      </c>
      <c r="C31" s="190">
        <f t="shared" si="2"/>
        <v>64526683</v>
      </c>
      <c r="D31" s="190">
        <v>34250000</v>
      </c>
      <c r="E31" s="190">
        <v>5258232</v>
      </c>
      <c r="F31" s="189">
        <v>145</v>
      </c>
      <c r="G31" s="229">
        <v>25018306</v>
      </c>
      <c r="H31" s="190">
        <f aca="true" t="shared" si="9" ref="H31:H36">I31</f>
        <v>42054764</v>
      </c>
      <c r="I31" s="190">
        <v>42054764</v>
      </c>
      <c r="J31" s="190">
        <f t="shared" si="4"/>
        <v>113193433</v>
      </c>
      <c r="K31" s="191">
        <v>91267954</v>
      </c>
      <c r="L31" s="228">
        <v>4445890</v>
      </c>
      <c r="M31" s="229">
        <v>4693191</v>
      </c>
      <c r="N31" s="190">
        <v>12786398</v>
      </c>
      <c r="O31" s="190">
        <f>SUM(P31:V31)</f>
        <v>58426641</v>
      </c>
      <c r="P31" s="190">
        <v>2152466</v>
      </c>
      <c r="Q31" s="190">
        <v>17781210</v>
      </c>
      <c r="R31" s="229">
        <v>19742554</v>
      </c>
      <c r="S31" s="192">
        <v>446007</v>
      </c>
      <c r="T31" s="192">
        <v>14074351</v>
      </c>
      <c r="U31" s="189">
        <v>0</v>
      </c>
      <c r="V31" s="192">
        <v>4230053</v>
      </c>
      <c r="W31" s="189">
        <v>0</v>
      </c>
      <c r="X31" s="192">
        <f t="shared" si="6"/>
        <v>196330212</v>
      </c>
      <c r="Y31" s="190">
        <v>98141578</v>
      </c>
      <c r="Z31" s="190">
        <v>98188634</v>
      </c>
      <c r="AA31" s="229">
        <v>428351</v>
      </c>
      <c r="AB31" s="190">
        <v>6670936</v>
      </c>
      <c r="AC31" s="190">
        <f t="shared" si="7"/>
        <v>92413</v>
      </c>
      <c r="AD31" s="190">
        <v>385</v>
      </c>
      <c r="AE31" s="190">
        <v>92028</v>
      </c>
    </row>
    <row r="32" spans="1:31" s="67" customFormat="1" ht="11.25" hidden="1">
      <c r="A32" s="230" t="s">
        <v>183</v>
      </c>
      <c r="B32" s="229">
        <f t="shared" si="1"/>
        <v>500886050</v>
      </c>
      <c r="C32" s="190">
        <f t="shared" si="2"/>
        <v>66699623</v>
      </c>
      <c r="D32" s="190">
        <v>36750000</v>
      </c>
      <c r="E32" s="190">
        <v>5153777</v>
      </c>
      <c r="F32" s="189">
        <v>7605</v>
      </c>
      <c r="G32" s="229">
        <v>24788241</v>
      </c>
      <c r="H32" s="190">
        <f t="shared" si="9"/>
        <v>53885112</v>
      </c>
      <c r="I32" s="190">
        <v>53885112</v>
      </c>
      <c r="J32" s="190">
        <f t="shared" si="4"/>
        <v>109989783</v>
      </c>
      <c r="K32" s="191">
        <v>87648600</v>
      </c>
      <c r="L32" s="228">
        <v>4253508</v>
      </c>
      <c r="M32" s="229">
        <v>5012293</v>
      </c>
      <c r="N32" s="190">
        <v>13075382</v>
      </c>
      <c r="O32" s="190">
        <f>SUM(P32:V32)</f>
        <v>59558092</v>
      </c>
      <c r="P32" s="190">
        <v>2151083</v>
      </c>
      <c r="Q32" s="190">
        <v>18883274</v>
      </c>
      <c r="R32" s="229">
        <v>19641067</v>
      </c>
      <c r="S32" s="192">
        <v>443620</v>
      </c>
      <c r="T32" s="192">
        <v>14277767</v>
      </c>
      <c r="U32" s="189">
        <v>0</v>
      </c>
      <c r="V32" s="192">
        <v>4161281</v>
      </c>
      <c r="W32" s="189">
        <v>0</v>
      </c>
      <c r="X32" s="192">
        <f t="shared" si="6"/>
        <v>204126089</v>
      </c>
      <c r="Y32" s="190">
        <v>100827281</v>
      </c>
      <c r="Z32" s="190">
        <v>103298808</v>
      </c>
      <c r="AA32" s="229">
        <v>227991</v>
      </c>
      <c r="AB32" s="190">
        <v>6306947</v>
      </c>
      <c r="AC32" s="190">
        <f t="shared" si="7"/>
        <v>92413</v>
      </c>
      <c r="AD32" s="190">
        <v>385</v>
      </c>
      <c r="AE32" s="190">
        <v>92028</v>
      </c>
    </row>
    <row r="33" spans="1:31" s="67" customFormat="1" ht="11.25" hidden="1">
      <c r="A33" s="230" t="s">
        <v>186</v>
      </c>
      <c r="B33" s="229">
        <f t="shared" si="1"/>
        <v>501388585</v>
      </c>
      <c r="C33" s="190">
        <f t="shared" si="2"/>
        <v>67374777</v>
      </c>
      <c r="D33" s="190">
        <v>36050000</v>
      </c>
      <c r="E33" s="190">
        <v>5329158</v>
      </c>
      <c r="F33" s="189">
        <v>14754</v>
      </c>
      <c r="G33" s="229">
        <v>25980865</v>
      </c>
      <c r="H33" s="190">
        <f t="shared" si="9"/>
        <v>64092585</v>
      </c>
      <c r="I33" s="190">
        <v>64092585</v>
      </c>
      <c r="J33" s="190">
        <f t="shared" si="4"/>
        <v>100762220</v>
      </c>
      <c r="K33" s="191">
        <v>79762309</v>
      </c>
      <c r="L33" s="228">
        <v>4085594</v>
      </c>
      <c r="M33" s="229">
        <v>4885905</v>
      </c>
      <c r="N33" s="190">
        <v>12028412</v>
      </c>
      <c r="O33" s="190">
        <f t="shared" si="5"/>
        <v>60084297</v>
      </c>
      <c r="P33" s="190">
        <v>1899897</v>
      </c>
      <c r="Q33" s="190">
        <v>18703455</v>
      </c>
      <c r="R33" s="229">
        <v>20449890</v>
      </c>
      <c r="S33" s="192">
        <v>444084</v>
      </c>
      <c r="T33" s="192">
        <v>14478958</v>
      </c>
      <c r="U33" s="189">
        <v>0</v>
      </c>
      <c r="V33" s="192">
        <v>4108013</v>
      </c>
      <c r="W33" s="189">
        <v>0</v>
      </c>
      <c r="X33" s="192">
        <f t="shared" si="6"/>
        <v>203366114</v>
      </c>
      <c r="Y33" s="190">
        <v>98665695</v>
      </c>
      <c r="Z33" s="190">
        <v>104700419</v>
      </c>
      <c r="AA33" s="229">
        <v>124507</v>
      </c>
      <c r="AB33" s="190">
        <v>5491775</v>
      </c>
      <c r="AC33" s="190">
        <f t="shared" si="7"/>
        <v>92310</v>
      </c>
      <c r="AD33" s="190">
        <v>282</v>
      </c>
      <c r="AE33" s="190">
        <v>92028</v>
      </c>
    </row>
    <row r="34" spans="1:31" s="67" customFormat="1" ht="11.25" hidden="1">
      <c r="A34" s="230" t="s">
        <v>187</v>
      </c>
      <c r="B34" s="229">
        <f t="shared" si="1"/>
        <v>494793661</v>
      </c>
      <c r="C34" s="190">
        <f t="shared" si="2"/>
        <v>67196515</v>
      </c>
      <c r="D34" s="190">
        <v>36450000</v>
      </c>
      <c r="E34" s="190">
        <v>5104112</v>
      </c>
      <c r="F34" s="189">
        <v>1040</v>
      </c>
      <c r="G34" s="229">
        <v>25641363</v>
      </c>
      <c r="H34" s="190">
        <f t="shared" si="9"/>
        <v>64982958</v>
      </c>
      <c r="I34" s="190">
        <v>64982958</v>
      </c>
      <c r="J34" s="190">
        <f t="shared" si="4"/>
        <v>98224874</v>
      </c>
      <c r="K34" s="191">
        <v>77809793</v>
      </c>
      <c r="L34" s="228">
        <v>3974649</v>
      </c>
      <c r="M34" s="229">
        <v>4634298</v>
      </c>
      <c r="N34" s="190">
        <v>11806134</v>
      </c>
      <c r="O34" s="190">
        <f t="shared" si="5"/>
        <v>61585676</v>
      </c>
      <c r="P34" s="190">
        <v>1898810</v>
      </c>
      <c r="Q34" s="190">
        <v>18626043</v>
      </c>
      <c r="R34" s="229">
        <v>20448081</v>
      </c>
      <c r="S34" s="192">
        <v>438011</v>
      </c>
      <c r="T34" s="192">
        <v>16187423</v>
      </c>
      <c r="U34" s="189">
        <v>0</v>
      </c>
      <c r="V34" s="192">
        <v>3987308</v>
      </c>
      <c r="W34" s="189">
        <v>0</v>
      </c>
      <c r="X34" s="192">
        <f t="shared" si="6"/>
        <v>197074283</v>
      </c>
      <c r="Y34" s="190">
        <v>95448851</v>
      </c>
      <c r="Z34" s="190">
        <v>101625432</v>
      </c>
      <c r="AA34" s="229">
        <v>104795</v>
      </c>
      <c r="AB34" s="190">
        <v>5532720</v>
      </c>
      <c r="AC34" s="190">
        <f t="shared" si="7"/>
        <v>91840</v>
      </c>
      <c r="AD34" s="190">
        <v>195</v>
      </c>
      <c r="AE34" s="190">
        <v>91645</v>
      </c>
    </row>
    <row r="35" spans="1:31" s="67" customFormat="1" ht="11.25" hidden="1">
      <c r="A35" s="230" t="s">
        <v>188</v>
      </c>
      <c r="B35" s="229">
        <f t="shared" si="1"/>
        <v>488754083</v>
      </c>
      <c r="C35" s="190">
        <f t="shared" si="2"/>
        <v>89310622</v>
      </c>
      <c r="D35" s="190">
        <v>39250000</v>
      </c>
      <c r="E35" s="190">
        <v>23044089</v>
      </c>
      <c r="F35" s="189">
        <v>458</v>
      </c>
      <c r="G35" s="229">
        <v>27016075</v>
      </c>
      <c r="H35" s="190">
        <f t="shared" si="9"/>
        <v>46824909</v>
      </c>
      <c r="I35" s="190">
        <v>46824909</v>
      </c>
      <c r="J35" s="190">
        <f t="shared" si="4"/>
        <v>95757018</v>
      </c>
      <c r="K35" s="191">
        <v>76501793</v>
      </c>
      <c r="L35" s="228">
        <v>3687315</v>
      </c>
      <c r="M35" s="229">
        <v>4554024</v>
      </c>
      <c r="N35" s="190">
        <v>11013886</v>
      </c>
      <c r="O35" s="190">
        <f t="shared" si="5"/>
        <v>62511341</v>
      </c>
      <c r="P35" s="190">
        <v>1897749</v>
      </c>
      <c r="Q35" s="190">
        <v>18564246</v>
      </c>
      <c r="R35" s="229">
        <v>20296192</v>
      </c>
      <c r="S35" s="192">
        <v>448549</v>
      </c>
      <c r="T35" s="192">
        <v>17290555</v>
      </c>
      <c r="U35" s="189">
        <v>0</v>
      </c>
      <c r="V35" s="192">
        <v>4014050</v>
      </c>
      <c r="W35" s="189">
        <v>0</v>
      </c>
      <c r="X35" s="192">
        <f t="shared" si="6"/>
        <v>188555470</v>
      </c>
      <c r="Y35" s="190">
        <v>94888605</v>
      </c>
      <c r="Z35" s="190">
        <v>93666865</v>
      </c>
      <c r="AA35" s="229">
        <v>101930</v>
      </c>
      <c r="AB35" s="190">
        <v>5600820</v>
      </c>
      <c r="AC35" s="190">
        <f t="shared" si="7"/>
        <v>91973</v>
      </c>
      <c r="AD35" s="190">
        <v>328</v>
      </c>
      <c r="AE35" s="190">
        <v>91645</v>
      </c>
    </row>
    <row r="36" spans="1:31" s="67" customFormat="1" ht="11.25" hidden="1">
      <c r="A36" s="230" t="s">
        <v>189</v>
      </c>
      <c r="B36" s="229">
        <f t="shared" si="1"/>
        <v>498532259.14</v>
      </c>
      <c r="C36" s="190">
        <f aca="true" t="shared" si="10" ref="C36:C46">SUM(D36:G36)</f>
        <v>83428216</v>
      </c>
      <c r="D36" s="190">
        <v>39250000</v>
      </c>
      <c r="E36" s="190">
        <v>19557016</v>
      </c>
      <c r="F36" s="189">
        <v>20566</v>
      </c>
      <c r="G36" s="229">
        <v>24600634</v>
      </c>
      <c r="H36" s="190">
        <f t="shared" si="9"/>
        <v>56366724</v>
      </c>
      <c r="I36" s="190">
        <v>56366724</v>
      </c>
      <c r="J36" s="190">
        <f t="shared" si="4"/>
        <v>97716476</v>
      </c>
      <c r="K36" s="191">
        <f>77751325-1</f>
        <v>77751324</v>
      </c>
      <c r="L36" s="228">
        <v>3937715</v>
      </c>
      <c r="M36" s="229">
        <v>4718466</v>
      </c>
      <c r="N36" s="190">
        <v>11308971</v>
      </c>
      <c r="O36" s="190">
        <f>SUM(P36:V36)</f>
        <v>65616764.14</v>
      </c>
      <c r="P36" s="190">
        <f>ROUND((168391957+399133726+1327851507)/1000,2)</f>
        <v>1895377.19</v>
      </c>
      <c r="Q36" s="190">
        <f>ROUND((2396082205+16431730579)/1000,2)</f>
        <v>18827812.78</v>
      </c>
      <c r="R36" s="229">
        <f>ROUND((105732571+1300039364+20188573486)/1000,2)</f>
        <v>21594345.42</v>
      </c>
      <c r="S36" s="192">
        <f>ROUND(449616562/1000,2)</f>
        <v>449616.56</v>
      </c>
      <c r="T36" s="192">
        <f>ROUND((396991444+18492215748)/1000,2)</f>
        <v>18889207.19</v>
      </c>
      <c r="U36" s="189">
        <v>0</v>
      </c>
      <c r="V36" s="192">
        <v>3960405</v>
      </c>
      <c r="W36" s="189">
        <v>0</v>
      </c>
      <c r="X36" s="192">
        <f t="shared" si="6"/>
        <v>185569629</v>
      </c>
      <c r="Y36" s="190">
        <v>85048518</v>
      </c>
      <c r="Z36" s="190">
        <v>100521111</v>
      </c>
      <c r="AA36" s="229">
        <v>4057206</v>
      </c>
      <c r="AB36" s="190">
        <f>5776917-1</f>
        <v>5776916</v>
      </c>
      <c r="AC36" s="190">
        <f t="shared" si="7"/>
        <v>328</v>
      </c>
      <c r="AD36" s="190">
        <v>328</v>
      </c>
      <c r="AE36" s="294">
        <v>0</v>
      </c>
    </row>
    <row r="37" spans="1:31" s="67" customFormat="1" ht="11.25" hidden="1">
      <c r="A37" s="230" t="s">
        <v>192</v>
      </c>
      <c r="B37" s="229">
        <f aca="true" t="shared" si="11" ref="B37:B42">C37+H37+J37+O37+W37+X37+AA37+AB37+AC37</f>
        <v>487203594</v>
      </c>
      <c r="C37" s="190">
        <f t="shared" si="10"/>
        <v>66918718</v>
      </c>
      <c r="D37" s="190">
        <v>40050000</v>
      </c>
      <c r="E37" s="190">
        <v>1776523</v>
      </c>
      <c r="F37" s="189">
        <v>753</v>
      </c>
      <c r="G37" s="229">
        <v>25091442</v>
      </c>
      <c r="H37" s="190">
        <f aca="true" t="shared" si="12" ref="H37:H46">I37</f>
        <v>46492427</v>
      </c>
      <c r="I37" s="190">
        <v>46492427</v>
      </c>
      <c r="J37" s="190">
        <f aca="true" t="shared" si="13" ref="J37:J46">SUM(K37:N37)</f>
        <v>97383231</v>
      </c>
      <c r="K37" s="191">
        <v>76926757</v>
      </c>
      <c r="L37" s="228">
        <v>3852046</v>
      </c>
      <c r="M37" s="229">
        <v>4858797</v>
      </c>
      <c r="N37" s="190">
        <v>11745631</v>
      </c>
      <c r="O37" s="190">
        <f>SUM(P37:V37)</f>
        <v>65531938</v>
      </c>
      <c r="P37" s="190">
        <v>1894339</v>
      </c>
      <c r="Q37" s="190">
        <v>19102848</v>
      </c>
      <c r="R37" s="229">
        <v>21291278</v>
      </c>
      <c r="S37" s="192">
        <v>451280</v>
      </c>
      <c r="T37" s="192">
        <v>18887814</v>
      </c>
      <c r="U37" s="189">
        <v>0</v>
      </c>
      <c r="V37" s="192">
        <v>3904379</v>
      </c>
      <c r="W37" s="189">
        <v>0</v>
      </c>
      <c r="X37" s="192">
        <f aca="true" t="shared" si="14" ref="X37:X46">Y37+Z37</f>
        <v>202497568</v>
      </c>
      <c r="Y37" s="190">
        <v>98487470</v>
      </c>
      <c r="Z37" s="190">
        <v>104010098</v>
      </c>
      <c r="AA37" s="229">
        <v>1080091</v>
      </c>
      <c r="AB37" s="190">
        <v>7299293</v>
      </c>
      <c r="AC37" s="190">
        <f>SUM(AD37:AE37)</f>
        <v>328</v>
      </c>
      <c r="AD37" s="190">
        <v>328</v>
      </c>
      <c r="AE37" s="294">
        <v>0</v>
      </c>
    </row>
    <row r="38" spans="1:31" s="67" customFormat="1" ht="11.25" hidden="1">
      <c r="A38" s="230" t="s">
        <v>197</v>
      </c>
      <c r="B38" s="229">
        <f t="shared" si="11"/>
        <v>493945696.88699996</v>
      </c>
      <c r="C38" s="190">
        <f t="shared" si="10"/>
        <v>74973604</v>
      </c>
      <c r="D38" s="190">
        <v>40050000</v>
      </c>
      <c r="E38" s="190">
        <v>10121292</v>
      </c>
      <c r="F38" s="189">
        <v>43360</v>
      </c>
      <c r="G38" s="229">
        <v>24758952</v>
      </c>
      <c r="H38" s="190">
        <f t="shared" si="12"/>
        <v>51642736</v>
      </c>
      <c r="I38" s="190">
        <v>51642736</v>
      </c>
      <c r="J38" s="190">
        <f t="shared" si="13"/>
        <v>97821172.887</v>
      </c>
      <c r="K38" s="191">
        <f>(13654293428+64205363527)/1000</f>
        <v>77859656.955</v>
      </c>
      <c r="L38" s="228">
        <f>3808156932/1000</f>
        <v>3808156.932</v>
      </c>
      <c r="M38" s="229">
        <v>4778153</v>
      </c>
      <c r="N38" s="190">
        <v>11375206</v>
      </c>
      <c r="O38" s="190">
        <f>SUM(P38:V38)-1</f>
        <v>66919113</v>
      </c>
      <c r="P38" s="190">
        <v>1894831</v>
      </c>
      <c r="Q38" s="190">
        <v>19910103</v>
      </c>
      <c r="R38" s="229">
        <v>21457872</v>
      </c>
      <c r="S38" s="192">
        <v>449638</v>
      </c>
      <c r="T38" s="192">
        <v>19386421</v>
      </c>
      <c r="U38" s="189">
        <v>0</v>
      </c>
      <c r="V38" s="192">
        <v>3820249</v>
      </c>
      <c r="W38" s="189">
        <v>0</v>
      </c>
      <c r="X38" s="192">
        <f t="shared" si="14"/>
        <v>196032013</v>
      </c>
      <c r="Y38" s="190">
        <v>92228859</v>
      </c>
      <c r="Z38" s="190">
        <v>103803154</v>
      </c>
      <c r="AA38" s="229">
        <v>255522</v>
      </c>
      <c r="AB38" s="190">
        <v>6301208</v>
      </c>
      <c r="AC38" s="190">
        <f>SUM(AD38:AE38)</f>
        <v>328</v>
      </c>
      <c r="AD38" s="190">
        <v>328</v>
      </c>
      <c r="AE38" s="294">
        <v>0</v>
      </c>
    </row>
    <row r="39" spans="1:31" s="67" customFormat="1" ht="11.25" hidden="1">
      <c r="A39" s="230" t="s">
        <v>199</v>
      </c>
      <c r="B39" s="229">
        <f t="shared" si="11"/>
        <v>507589957</v>
      </c>
      <c r="C39" s="190">
        <f t="shared" si="10"/>
        <v>70727109</v>
      </c>
      <c r="D39" s="190">
        <v>39950000</v>
      </c>
      <c r="E39" s="190">
        <f>4959689-1</f>
        <v>4959688</v>
      </c>
      <c r="F39" s="320">
        <v>138757</v>
      </c>
      <c r="G39" s="229">
        <v>25678664</v>
      </c>
      <c r="H39" s="190">
        <f t="shared" si="12"/>
        <v>63492562</v>
      </c>
      <c r="I39" s="190">
        <v>63492562</v>
      </c>
      <c r="J39" s="190">
        <f t="shared" si="13"/>
        <v>98342700</v>
      </c>
      <c r="K39" s="331">
        <f>78231940-1</f>
        <v>78231939</v>
      </c>
      <c r="L39" s="228">
        <v>3795650</v>
      </c>
      <c r="M39" s="229">
        <v>4862173</v>
      </c>
      <c r="N39" s="190">
        <v>11452938</v>
      </c>
      <c r="O39" s="190">
        <f>SUM(P39:V39)</f>
        <v>66856029</v>
      </c>
      <c r="P39" s="190">
        <v>1793875</v>
      </c>
      <c r="Q39" s="229">
        <v>19709267</v>
      </c>
      <c r="R39" s="229">
        <v>21455899</v>
      </c>
      <c r="S39" s="192">
        <v>440343</v>
      </c>
      <c r="T39" s="192">
        <v>19785072</v>
      </c>
      <c r="U39" s="189">
        <v>0</v>
      </c>
      <c r="V39" s="192">
        <v>3671573</v>
      </c>
      <c r="W39" s="320">
        <v>0</v>
      </c>
      <c r="X39" s="192">
        <f t="shared" si="14"/>
        <v>202318277</v>
      </c>
      <c r="Y39" s="190">
        <v>94053056</v>
      </c>
      <c r="Z39" s="190">
        <v>108265221</v>
      </c>
      <c r="AA39" s="229">
        <v>124996</v>
      </c>
      <c r="AB39" s="190">
        <v>5727956</v>
      </c>
      <c r="AC39" s="190">
        <f>SUM(AD39:AE39)</f>
        <v>328</v>
      </c>
      <c r="AD39" s="190">
        <v>328</v>
      </c>
      <c r="AE39" s="294">
        <v>0</v>
      </c>
    </row>
    <row r="40" spans="1:31" s="67" customFormat="1" ht="11.25" hidden="1">
      <c r="A40" s="230" t="s">
        <v>201</v>
      </c>
      <c r="B40" s="229">
        <f t="shared" si="11"/>
        <v>500644717.283</v>
      </c>
      <c r="C40" s="190">
        <f t="shared" si="10"/>
        <v>86968528</v>
      </c>
      <c r="D40" s="190">
        <v>39950000</v>
      </c>
      <c r="E40" s="190">
        <v>20599862</v>
      </c>
      <c r="F40" s="320">
        <v>257</v>
      </c>
      <c r="G40" s="229">
        <v>26418409</v>
      </c>
      <c r="H40" s="190">
        <f t="shared" si="12"/>
        <v>69896881.651</v>
      </c>
      <c r="I40" s="190">
        <f>69896881651/1000</f>
        <v>69896881.651</v>
      </c>
      <c r="J40" s="190">
        <f t="shared" si="13"/>
        <v>96279928.37900001</v>
      </c>
      <c r="K40" s="331">
        <f>76006904154/1000</f>
        <v>76006904.154</v>
      </c>
      <c r="L40" s="228">
        <f>3713211709/1000</f>
        <v>3713211.709</v>
      </c>
      <c r="M40" s="229">
        <f>4735344204/1000</f>
        <v>4735344.204</v>
      </c>
      <c r="N40" s="190">
        <f>11824468312/1000</f>
        <v>11824468.312</v>
      </c>
      <c r="O40" s="190">
        <f>SUM(P40:V40)</f>
        <v>66720583.391</v>
      </c>
      <c r="P40" s="190">
        <f>1792830686/1000</f>
        <v>1792830.686</v>
      </c>
      <c r="Q40" s="229">
        <f>19553408414/1000</f>
        <v>19553408.414</v>
      </c>
      <c r="R40" s="229">
        <f>21159409130/1000</f>
        <v>21159409.13</v>
      </c>
      <c r="S40" s="192">
        <f>438779594/1000</f>
        <v>438779.594</v>
      </c>
      <c r="T40" s="192">
        <f>20183679179/1000</f>
        <v>20183679.179</v>
      </c>
      <c r="U40" s="189">
        <v>0</v>
      </c>
      <c r="V40" s="192">
        <f>3592476388/1000</f>
        <v>3592476.388</v>
      </c>
      <c r="W40" s="320">
        <v>0</v>
      </c>
      <c r="X40" s="192">
        <f t="shared" si="14"/>
        <v>174782834.012</v>
      </c>
      <c r="Y40" s="190">
        <f>69419762397/1000</f>
        <v>69419762.397</v>
      </c>
      <c r="Z40" s="190">
        <f>105363071615/1000</f>
        <v>105363071.615</v>
      </c>
      <c r="AA40" s="229">
        <f>108115870/1000</f>
        <v>108115.87</v>
      </c>
      <c r="AB40" s="190">
        <f>5887518188/1000</f>
        <v>5887518.188</v>
      </c>
      <c r="AC40" s="190">
        <f>SUM(AD40:AE40)</f>
        <v>327.792</v>
      </c>
      <c r="AD40" s="190">
        <f>327792/1000</f>
        <v>327.792</v>
      </c>
      <c r="AE40" s="294">
        <v>0</v>
      </c>
    </row>
    <row r="41" spans="1:31" s="67" customFormat="1" ht="11.25" hidden="1">
      <c r="A41" s="230" t="s">
        <v>203</v>
      </c>
      <c r="B41" s="229">
        <f t="shared" si="11"/>
        <v>512476820</v>
      </c>
      <c r="C41" s="190">
        <f t="shared" si="10"/>
        <v>82314883</v>
      </c>
      <c r="D41" s="190">
        <v>39950000</v>
      </c>
      <c r="E41" s="190">
        <v>16229077</v>
      </c>
      <c r="F41" s="320">
        <v>10567</v>
      </c>
      <c r="G41" s="229">
        <f>26125239</f>
        <v>26125239</v>
      </c>
      <c r="H41" s="190">
        <f t="shared" si="12"/>
        <v>77738844</v>
      </c>
      <c r="I41" s="190">
        <v>77738844</v>
      </c>
      <c r="J41" s="190">
        <f t="shared" si="13"/>
        <v>100847660</v>
      </c>
      <c r="K41" s="331">
        <v>80234153</v>
      </c>
      <c r="L41" s="228">
        <v>3911757</v>
      </c>
      <c r="M41" s="229">
        <v>4904092</v>
      </c>
      <c r="N41" s="190">
        <v>11797658</v>
      </c>
      <c r="O41" s="190">
        <f>SUM(P41:V41)</f>
        <v>67633249</v>
      </c>
      <c r="P41" s="190">
        <v>1791855</v>
      </c>
      <c r="Q41" s="229">
        <f>19447351-1</f>
        <v>19447350</v>
      </c>
      <c r="R41" s="229">
        <v>21258117</v>
      </c>
      <c r="S41" s="230">
        <v>436396</v>
      </c>
      <c r="T41" s="230">
        <v>21206896</v>
      </c>
      <c r="U41" s="189">
        <v>0</v>
      </c>
      <c r="V41" s="192">
        <v>3492635</v>
      </c>
      <c r="W41" s="320">
        <v>0</v>
      </c>
      <c r="X41" s="192">
        <f t="shared" si="14"/>
        <v>178259310</v>
      </c>
      <c r="Y41" s="190">
        <v>72707602</v>
      </c>
      <c r="Z41" s="190">
        <v>105551708</v>
      </c>
      <c r="AA41" s="229">
        <v>111834</v>
      </c>
      <c r="AB41" s="190">
        <v>5570712</v>
      </c>
      <c r="AC41" s="190">
        <f>SUM(AD41:AE41)</f>
        <v>328</v>
      </c>
      <c r="AD41" s="190">
        <f>328</f>
        <v>328</v>
      </c>
      <c r="AE41" s="294">
        <v>0</v>
      </c>
    </row>
    <row r="42" spans="1:31" s="67" customFormat="1" ht="11.25" hidden="1">
      <c r="A42" s="230" t="s">
        <v>204</v>
      </c>
      <c r="B42" s="229">
        <f t="shared" si="11"/>
        <v>519273738</v>
      </c>
      <c r="C42" s="190">
        <f t="shared" si="10"/>
        <v>87602716</v>
      </c>
      <c r="D42" s="190">
        <v>39950000</v>
      </c>
      <c r="E42" s="190">
        <v>22043106</v>
      </c>
      <c r="F42" s="320">
        <v>610</v>
      </c>
      <c r="G42" s="229">
        <v>25609000</v>
      </c>
      <c r="H42" s="190">
        <f t="shared" si="12"/>
        <v>71333478</v>
      </c>
      <c r="I42" s="190">
        <v>71333478</v>
      </c>
      <c r="J42" s="190">
        <f t="shared" si="13"/>
        <v>103152534</v>
      </c>
      <c r="K42" s="331">
        <v>81723954</v>
      </c>
      <c r="L42" s="228">
        <v>3955435</v>
      </c>
      <c r="M42" s="229">
        <v>4714190</v>
      </c>
      <c r="N42" s="190">
        <v>12758955</v>
      </c>
      <c r="O42" s="190">
        <f>SUM(P42:V42)</f>
        <v>69636432</v>
      </c>
      <c r="P42" s="190">
        <v>1690908</v>
      </c>
      <c r="Q42" s="229">
        <v>19380202</v>
      </c>
      <c r="R42" s="229">
        <v>21107222</v>
      </c>
      <c r="S42" s="230">
        <v>435585</v>
      </c>
      <c r="T42" s="230">
        <v>23604988</v>
      </c>
      <c r="U42" s="189">
        <v>0</v>
      </c>
      <c r="V42" s="192">
        <v>3417527</v>
      </c>
      <c r="W42" s="320">
        <v>0</v>
      </c>
      <c r="X42" s="192">
        <f t="shared" si="14"/>
        <v>177773158</v>
      </c>
      <c r="Y42" s="190">
        <v>71739072</v>
      </c>
      <c r="Z42" s="190">
        <v>106034086</v>
      </c>
      <c r="AA42" s="229">
        <v>4367350</v>
      </c>
      <c r="AB42" s="190">
        <v>5408070</v>
      </c>
      <c r="AC42" s="294">
        <v>0</v>
      </c>
      <c r="AD42" s="294">
        <v>0</v>
      </c>
      <c r="AE42" s="294">
        <v>0</v>
      </c>
    </row>
    <row r="43" spans="1:31" s="67" customFormat="1" ht="14.25">
      <c r="A43" s="270" t="s">
        <v>206</v>
      </c>
      <c r="B43" s="276">
        <f>B55</f>
        <v>563137547</v>
      </c>
      <c r="C43" s="276">
        <f aca="true" t="shared" si="15" ref="C43:AE43">C55</f>
        <v>101371314</v>
      </c>
      <c r="D43" s="276">
        <f t="shared" si="15"/>
        <v>39950000</v>
      </c>
      <c r="E43" s="276">
        <f t="shared" si="15"/>
        <v>23352022</v>
      </c>
      <c r="F43" s="276">
        <f t="shared" si="15"/>
        <v>0</v>
      </c>
      <c r="G43" s="276">
        <f t="shared" si="15"/>
        <v>38069292</v>
      </c>
      <c r="H43" s="276">
        <f t="shared" si="15"/>
        <v>83095814</v>
      </c>
      <c r="I43" s="276">
        <f t="shared" si="15"/>
        <v>83095814</v>
      </c>
      <c r="J43" s="276">
        <f t="shared" si="15"/>
        <v>108667047</v>
      </c>
      <c r="K43" s="276">
        <f t="shared" si="15"/>
        <v>86772254</v>
      </c>
      <c r="L43" s="276">
        <f t="shared" si="15"/>
        <v>4604079</v>
      </c>
      <c r="M43" s="276">
        <f t="shared" si="15"/>
        <v>4117128</v>
      </c>
      <c r="N43" s="276">
        <f t="shared" si="15"/>
        <v>13173586</v>
      </c>
      <c r="O43" s="276">
        <f t="shared" si="15"/>
        <v>72137961</v>
      </c>
      <c r="P43" s="276">
        <f t="shared" si="15"/>
        <v>1428053</v>
      </c>
      <c r="Q43" s="276">
        <f t="shared" si="15"/>
        <v>17799093</v>
      </c>
      <c r="R43" s="276">
        <f t="shared" si="15"/>
        <v>22789576</v>
      </c>
      <c r="S43" s="276">
        <f t="shared" si="15"/>
        <v>1184689</v>
      </c>
      <c r="T43" s="276">
        <f t="shared" si="15"/>
        <v>23893877</v>
      </c>
      <c r="U43" s="276">
        <f>U55</f>
        <v>2332609</v>
      </c>
      <c r="V43" s="276">
        <f t="shared" si="15"/>
        <v>2710064</v>
      </c>
      <c r="W43" s="294">
        <f t="shared" si="15"/>
        <v>0</v>
      </c>
      <c r="X43" s="276">
        <f t="shared" si="15"/>
        <v>188002162</v>
      </c>
      <c r="Y43" s="276">
        <f t="shared" si="15"/>
        <v>68348168</v>
      </c>
      <c r="Z43" s="276">
        <f t="shared" si="15"/>
        <v>119653994</v>
      </c>
      <c r="AA43" s="276">
        <f t="shared" si="15"/>
        <v>5043398</v>
      </c>
      <c r="AB43" s="276">
        <f t="shared" si="15"/>
        <v>4819851</v>
      </c>
      <c r="AC43" s="294">
        <f t="shared" si="15"/>
        <v>0</v>
      </c>
      <c r="AD43" s="294">
        <f t="shared" si="15"/>
        <v>0</v>
      </c>
      <c r="AE43" s="294">
        <f t="shared" si="15"/>
        <v>0</v>
      </c>
    </row>
    <row r="44" spans="1:31" s="67" customFormat="1" ht="11.25" hidden="1">
      <c r="A44" s="230" t="s">
        <v>205</v>
      </c>
      <c r="B44" s="229">
        <f aca="true" t="shared" si="16" ref="B44:B53">C44+H44+J44+O44+W44+X44+AA44+AB44+AC44</f>
        <v>512142353</v>
      </c>
      <c r="C44" s="190">
        <f t="shared" si="10"/>
        <v>77041218</v>
      </c>
      <c r="D44" s="190">
        <v>39950000</v>
      </c>
      <c r="E44" s="190">
        <v>7089400</v>
      </c>
      <c r="F44" s="320">
        <v>0</v>
      </c>
      <c r="G44" s="229">
        <v>30001818</v>
      </c>
      <c r="H44" s="190">
        <f t="shared" si="12"/>
        <v>75398341</v>
      </c>
      <c r="I44" s="190">
        <v>75398341</v>
      </c>
      <c r="J44" s="190">
        <f t="shared" si="13"/>
        <v>101937445</v>
      </c>
      <c r="K44" s="331">
        <v>80244810</v>
      </c>
      <c r="L44" s="228">
        <v>4179193</v>
      </c>
      <c r="M44" s="229">
        <v>4854187</v>
      </c>
      <c r="N44" s="190">
        <v>12659255</v>
      </c>
      <c r="O44" s="190">
        <f aca="true" t="shared" si="17" ref="O44:O50">SUM(P44:V44)</f>
        <v>70373931</v>
      </c>
      <c r="P44" s="190">
        <v>1690645</v>
      </c>
      <c r="Q44" s="229">
        <v>20070673</v>
      </c>
      <c r="R44" s="229">
        <v>21606055</v>
      </c>
      <c r="S44" s="320">
        <v>0</v>
      </c>
      <c r="T44" s="230">
        <v>23603079</v>
      </c>
      <c r="U44" s="320">
        <v>0</v>
      </c>
      <c r="V44" s="192">
        <v>3403479</v>
      </c>
      <c r="W44" s="320">
        <v>0</v>
      </c>
      <c r="X44" s="192">
        <f t="shared" si="14"/>
        <v>181775536</v>
      </c>
      <c r="Y44" s="190">
        <v>68620156</v>
      </c>
      <c r="Z44" s="190">
        <v>113155380</v>
      </c>
      <c r="AA44" s="229">
        <v>461457</v>
      </c>
      <c r="AB44" s="190">
        <v>5154425</v>
      </c>
      <c r="AC44" s="294">
        <f aca="true" t="shared" si="18" ref="AC44:AC57">SUM(AD44:AE44)</f>
        <v>0</v>
      </c>
      <c r="AD44" s="294">
        <v>0</v>
      </c>
      <c r="AE44" s="294">
        <v>0</v>
      </c>
    </row>
    <row r="45" spans="1:31" s="67" customFormat="1" ht="11.25" hidden="1">
      <c r="A45" s="230" t="s">
        <v>208</v>
      </c>
      <c r="B45" s="229">
        <f t="shared" si="16"/>
        <v>517078284</v>
      </c>
      <c r="C45" s="190">
        <f t="shared" si="10"/>
        <v>82073746</v>
      </c>
      <c r="D45" s="190">
        <v>39950000</v>
      </c>
      <c r="E45" s="190">
        <v>10625328</v>
      </c>
      <c r="F45" s="320">
        <v>342</v>
      </c>
      <c r="G45" s="229">
        <v>31498076</v>
      </c>
      <c r="H45" s="190">
        <f t="shared" si="12"/>
        <v>77514316</v>
      </c>
      <c r="I45" s="190">
        <v>77514316</v>
      </c>
      <c r="J45" s="190">
        <f t="shared" si="13"/>
        <v>101649610</v>
      </c>
      <c r="K45" s="331">
        <f>79787539-1</f>
        <v>79787538</v>
      </c>
      <c r="L45" s="228">
        <v>4196161</v>
      </c>
      <c r="M45" s="229">
        <v>4904589</v>
      </c>
      <c r="N45" s="190">
        <v>12761322</v>
      </c>
      <c r="O45" s="190">
        <f t="shared" si="17"/>
        <v>68694462</v>
      </c>
      <c r="P45" s="190">
        <v>1689666</v>
      </c>
      <c r="Q45" s="229">
        <v>18360984</v>
      </c>
      <c r="R45" s="229">
        <v>21704603</v>
      </c>
      <c r="S45" s="320">
        <v>0</v>
      </c>
      <c r="T45" s="230">
        <v>23601357</v>
      </c>
      <c r="U45" s="320">
        <v>0</v>
      </c>
      <c r="V45" s="192">
        <v>3337852</v>
      </c>
      <c r="W45" s="320">
        <v>0</v>
      </c>
      <c r="X45" s="192">
        <f t="shared" si="14"/>
        <v>182064550</v>
      </c>
      <c r="Y45" s="190">
        <v>68851074</v>
      </c>
      <c r="Z45" s="190">
        <v>113213476</v>
      </c>
      <c r="AA45" s="229">
        <v>250229</v>
      </c>
      <c r="AB45" s="190">
        <v>4831371</v>
      </c>
      <c r="AC45" s="294">
        <f t="shared" si="18"/>
        <v>0</v>
      </c>
      <c r="AD45" s="294">
        <v>0</v>
      </c>
      <c r="AE45" s="294">
        <v>0</v>
      </c>
    </row>
    <row r="46" spans="1:32" s="67" customFormat="1" ht="11.25" hidden="1">
      <c r="A46" s="230" t="s">
        <v>209</v>
      </c>
      <c r="B46" s="229">
        <f t="shared" si="16"/>
        <v>525337917</v>
      </c>
      <c r="C46" s="190">
        <f t="shared" si="10"/>
        <v>85303426</v>
      </c>
      <c r="D46" s="190">
        <v>39950000</v>
      </c>
      <c r="E46" s="190">
        <v>13358134</v>
      </c>
      <c r="F46" s="320">
        <v>163</v>
      </c>
      <c r="G46" s="229">
        <v>31995129</v>
      </c>
      <c r="H46" s="190">
        <f t="shared" si="12"/>
        <v>81947968</v>
      </c>
      <c r="I46" s="190">
        <v>81947968</v>
      </c>
      <c r="J46" s="190">
        <f t="shared" si="13"/>
        <v>104147430</v>
      </c>
      <c r="K46" s="331">
        <v>81744623</v>
      </c>
      <c r="L46" s="228">
        <v>4298955</v>
      </c>
      <c r="M46" s="229">
        <f>4973033+1</f>
        <v>4973034</v>
      </c>
      <c r="N46" s="190">
        <v>13130818</v>
      </c>
      <c r="O46" s="190">
        <f t="shared" si="17"/>
        <v>68965998</v>
      </c>
      <c r="P46" s="190">
        <v>1488768</v>
      </c>
      <c r="Q46" s="229">
        <v>18581082</v>
      </c>
      <c r="R46" s="229">
        <v>21703939</v>
      </c>
      <c r="S46" s="320">
        <v>0</v>
      </c>
      <c r="T46" s="230">
        <v>23899538</v>
      </c>
      <c r="U46" s="320">
        <v>0</v>
      </c>
      <c r="V46" s="192">
        <v>3292671</v>
      </c>
      <c r="W46" s="320">
        <v>0</v>
      </c>
      <c r="X46" s="192">
        <f t="shared" si="14"/>
        <v>179992656</v>
      </c>
      <c r="Y46" s="190">
        <v>64900736</v>
      </c>
      <c r="Z46" s="190">
        <v>115091920</v>
      </c>
      <c r="AA46" s="229">
        <v>159510</v>
      </c>
      <c r="AB46" s="190">
        <f>4820928+1</f>
        <v>4820929</v>
      </c>
      <c r="AC46" s="294">
        <f t="shared" si="18"/>
        <v>0</v>
      </c>
      <c r="AD46" s="294">
        <v>0</v>
      </c>
      <c r="AE46" s="294">
        <v>0</v>
      </c>
      <c r="AF46" s="67" t="s">
        <v>211</v>
      </c>
    </row>
    <row r="47" spans="1:31" s="67" customFormat="1" ht="11.25" hidden="1">
      <c r="A47" s="230" t="s">
        <v>212</v>
      </c>
      <c r="B47" s="229">
        <f t="shared" si="16"/>
        <v>532626445</v>
      </c>
      <c r="C47" s="190">
        <f>SUM(D47:G47)</f>
        <v>86538920</v>
      </c>
      <c r="D47" s="190">
        <v>39950000</v>
      </c>
      <c r="E47" s="190">
        <v>15061851</v>
      </c>
      <c r="F47" s="320">
        <v>3007</v>
      </c>
      <c r="G47" s="229">
        <v>31524062</v>
      </c>
      <c r="H47" s="190">
        <f aca="true" t="shared" si="19" ref="H47:H68">I47</f>
        <v>83398744</v>
      </c>
      <c r="I47" s="190">
        <v>83398744</v>
      </c>
      <c r="J47" s="190">
        <f aca="true" t="shared" si="20" ref="J47:J68">SUM(K47:N47)</f>
        <v>106511084</v>
      </c>
      <c r="K47" s="331">
        <v>83760279</v>
      </c>
      <c r="L47" s="228">
        <v>4327560</v>
      </c>
      <c r="M47" s="229">
        <v>5194467</v>
      </c>
      <c r="N47" s="190">
        <v>13228778</v>
      </c>
      <c r="O47" s="190">
        <f t="shared" si="17"/>
        <v>68353219</v>
      </c>
      <c r="P47" s="190">
        <v>1487140</v>
      </c>
      <c r="Q47" s="229">
        <v>18391190</v>
      </c>
      <c r="R47" s="229">
        <v>21503287</v>
      </c>
      <c r="S47" s="320">
        <v>0</v>
      </c>
      <c r="T47" s="230">
        <v>23797678</v>
      </c>
      <c r="U47" s="320">
        <v>0</v>
      </c>
      <c r="V47" s="192">
        <v>3173924</v>
      </c>
      <c r="W47" s="320">
        <v>0</v>
      </c>
      <c r="X47" s="192">
        <f aca="true" t="shared" si="21" ref="X47:X68">Y47+Z47</f>
        <v>182403206</v>
      </c>
      <c r="Y47" s="190">
        <v>66374408</v>
      </c>
      <c r="Z47" s="190">
        <v>116028798</v>
      </c>
      <c r="AA47" s="229">
        <v>130409</v>
      </c>
      <c r="AB47" s="190">
        <v>5290801</v>
      </c>
      <c r="AC47" s="294">
        <f t="shared" si="18"/>
        <v>62</v>
      </c>
      <c r="AD47" s="190">
        <v>62</v>
      </c>
      <c r="AE47" s="294">
        <v>0</v>
      </c>
    </row>
    <row r="48" spans="1:31" s="67" customFormat="1" ht="11.25" hidden="1">
      <c r="A48" s="230" t="s">
        <v>213</v>
      </c>
      <c r="B48" s="229">
        <f t="shared" si="16"/>
        <v>542567914</v>
      </c>
      <c r="C48" s="190">
        <f>SUM(D48:G48)</f>
        <v>92985635</v>
      </c>
      <c r="D48" s="229">
        <v>39950000</v>
      </c>
      <c r="E48" s="229">
        <v>21021720</v>
      </c>
      <c r="F48" s="320">
        <v>147</v>
      </c>
      <c r="G48" s="229">
        <v>32013768</v>
      </c>
      <c r="H48" s="190">
        <f t="shared" si="19"/>
        <v>85084121</v>
      </c>
      <c r="I48" s="190">
        <v>85084121</v>
      </c>
      <c r="J48" s="190">
        <f t="shared" si="20"/>
        <v>104522279</v>
      </c>
      <c r="K48" s="331">
        <v>82379204</v>
      </c>
      <c r="L48" s="339">
        <v>4266274</v>
      </c>
      <c r="M48" s="339">
        <v>4770281</v>
      </c>
      <c r="N48" s="339">
        <v>13106520</v>
      </c>
      <c r="O48" s="190">
        <f t="shared" si="17"/>
        <v>69625740</v>
      </c>
      <c r="P48" s="229">
        <v>1485986</v>
      </c>
      <c r="Q48" s="229">
        <v>17591797</v>
      </c>
      <c r="R48" s="229">
        <v>21601017</v>
      </c>
      <c r="S48" s="320">
        <v>900111</v>
      </c>
      <c r="T48" s="192">
        <v>23696676</v>
      </c>
      <c r="U48" s="192">
        <v>1200855</v>
      </c>
      <c r="V48" s="192">
        <v>3149298</v>
      </c>
      <c r="W48" s="320">
        <v>0</v>
      </c>
      <c r="X48" s="192">
        <f t="shared" si="21"/>
        <v>185270839</v>
      </c>
      <c r="Y48" s="190">
        <v>67034213</v>
      </c>
      <c r="Z48" s="190">
        <v>118236626</v>
      </c>
      <c r="AA48" s="190">
        <f>158547+1</f>
        <v>158548</v>
      </c>
      <c r="AB48" s="190">
        <v>4920690</v>
      </c>
      <c r="AC48" s="294">
        <f t="shared" si="18"/>
        <v>62</v>
      </c>
      <c r="AD48" s="190">
        <v>62</v>
      </c>
      <c r="AE48" s="294">
        <v>0</v>
      </c>
    </row>
    <row r="49" spans="1:31" s="67" customFormat="1" ht="11.25" hidden="1">
      <c r="A49" s="230" t="s">
        <v>214</v>
      </c>
      <c r="B49" s="229">
        <f t="shared" si="16"/>
        <v>537036246</v>
      </c>
      <c r="C49" s="190">
        <f>SUM(D49:G49)</f>
        <v>73852315</v>
      </c>
      <c r="D49" s="229">
        <v>39950000</v>
      </c>
      <c r="E49" s="229">
        <v>19594745</v>
      </c>
      <c r="F49" s="320">
        <v>8250</v>
      </c>
      <c r="G49" s="229">
        <f>14299321-1</f>
        <v>14299320</v>
      </c>
      <c r="H49" s="190">
        <f t="shared" si="19"/>
        <v>72049931</v>
      </c>
      <c r="I49" s="190">
        <v>72049931</v>
      </c>
      <c r="J49" s="190">
        <f t="shared" si="20"/>
        <v>108268753</v>
      </c>
      <c r="K49" s="331">
        <v>86284964</v>
      </c>
      <c r="L49" s="339">
        <v>4220006</v>
      </c>
      <c r="M49" s="339">
        <v>4630325</v>
      </c>
      <c r="N49" s="339">
        <v>13133458</v>
      </c>
      <c r="O49" s="190">
        <f t="shared" si="17"/>
        <v>70339934</v>
      </c>
      <c r="P49" s="229">
        <v>1484949</v>
      </c>
      <c r="Q49" s="229">
        <v>17430720</v>
      </c>
      <c r="R49" s="229">
        <v>21900105</v>
      </c>
      <c r="S49" s="320">
        <v>1192260</v>
      </c>
      <c r="T49" s="192">
        <v>23694528</v>
      </c>
      <c r="U49" s="192">
        <v>1556129</v>
      </c>
      <c r="V49" s="192">
        <v>3081243</v>
      </c>
      <c r="W49" s="320">
        <v>0</v>
      </c>
      <c r="X49" s="192">
        <f t="shared" si="21"/>
        <v>202698378</v>
      </c>
      <c r="Y49" s="190">
        <v>72198387</v>
      </c>
      <c r="Z49" s="190">
        <v>130499991</v>
      </c>
      <c r="AA49" s="190">
        <v>4712127</v>
      </c>
      <c r="AB49" s="190">
        <v>5114746</v>
      </c>
      <c r="AC49" s="294">
        <f t="shared" si="18"/>
        <v>62</v>
      </c>
      <c r="AD49" s="190">
        <v>62</v>
      </c>
      <c r="AE49" s="294">
        <v>0</v>
      </c>
    </row>
    <row r="50" spans="1:31" s="67" customFormat="1" ht="11.25" hidden="1">
      <c r="A50" s="230" t="s">
        <v>215</v>
      </c>
      <c r="B50" s="229">
        <f t="shared" si="16"/>
        <v>523135266</v>
      </c>
      <c r="C50" s="190">
        <f>SUM(D50:G50)</f>
        <v>63337409</v>
      </c>
      <c r="D50" s="229">
        <v>39950000</v>
      </c>
      <c r="E50" s="229">
        <v>8350685</v>
      </c>
      <c r="F50" s="320">
        <v>2987</v>
      </c>
      <c r="G50" s="229">
        <v>15033737</v>
      </c>
      <c r="H50" s="190">
        <f t="shared" si="19"/>
        <v>67220043</v>
      </c>
      <c r="I50" s="190">
        <v>67220043</v>
      </c>
      <c r="J50" s="190">
        <f t="shared" si="20"/>
        <v>106334839</v>
      </c>
      <c r="K50" s="331">
        <v>84292379</v>
      </c>
      <c r="L50" s="339">
        <v>4361880</v>
      </c>
      <c r="M50" s="339">
        <v>4453585</v>
      </c>
      <c r="N50" s="339">
        <v>13226995</v>
      </c>
      <c r="O50" s="190">
        <f t="shared" si="17"/>
        <v>70972610</v>
      </c>
      <c r="P50" s="229">
        <v>1483759</v>
      </c>
      <c r="Q50" s="229">
        <v>17455574</v>
      </c>
      <c r="R50" s="229">
        <v>22372717</v>
      </c>
      <c r="S50" s="320">
        <v>1191530</v>
      </c>
      <c r="T50" s="192">
        <v>23899882</v>
      </c>
      <c r="U50" s="192">
        <v>1553808</v>
      </c>
      <c r="V50" s="192">
        <v>3015340</v>
      </c>
      <c r="W50" s="320">
        <v>0</v>
      </c>
      <c r="X50" s="192">
        <f t="shared" si="21"/>
        <v>208130729</v>
      </c>
      <c r="Y50" s="190">
        <v>73073959</v>
      </c>
      <c r="Z50" s="190">
        <v>135056770</v>
      </c>
      <c r="AA50" s="190">
        <v>968137</v>
      </c>
      <c r="AB50" s="190">
        <v>6171437</v>
      </c>
      <c r="AC50" s="294">
        <f t="shared" si="18"/>
        <v>62</v>
      </c>
      <c r="AD50" s="190">
        <v>62</v>
      </c>
      <c r="AE50" s="294">
        <v>0</v>
      </c>
    </row>
    <row r="51" spans="1:31" s="67" customFormat="1" ht="11.25" hidden="1">
      <c r="A51" s="230" t="s">
        <v>216</v>
      </c>
      <c r="B51" s="229">
        <f t="shared" si="16"/>
        <v>522965520</v>
      </c>
      <c r="C51" s="190">
        <f>SUM(D51:G51)+1</f>
        <v>69403326</v>
      </c>
      <c r="D51" s="229">
        <v>39950000</v>
      </c>
      <c r="E51" s="229">
        <v>13946876</v>
      </c>
      <c r="F51" s="320">
        <v>70697</v>
      </c>
      <c r="G51" s="229">
        <v>15435752</v>
      </c>
      <c r="H51" s="190">
        <f t="shared" si="19"/>
        <v>64163500</v>
      </c>
      <c r="I51" s="190">
        <v>64163500</v>
      </c>
      <c r="J51" s="190">
        <f t="shared" si="20"/>
        <v>108040562</v>
      </c>
      <c r="K51" s="331">
        <v>86317507</v>
      </c>
      <c r="L51" s="339">
        <v>4287255</v>
      </c>
      <c r="M51" s="339">
        <v>4594518</v>
      </c>
      <c r="N51" s="339">
        <v>12841282</v>
      </c>
      <c r="O51" s="190">
        <f>SUM(P51:V51)-1</f>
        <v>71151658</v>
      </c>
      <c r="P51" s="229">
        <v>1482626</v>
      </c>
      <c r="Q51" s="229">
        <v>17370683</v>
      </c>
      <c r="R51" s="229">
        <v>22370618</v>
      </c>
      <c r="S51" s="320">
        <v>1189606</v>
      </c>
      <c r="T51" s="192">
        <v>24103515</v>
      </c>
      <c r="U51" s="192">
        <v>1693262</v>
      </c>
      <c r="V51" s="192">
        <v>2941349</v>
      </c>
      <c r="W51" s="320">
        <v>0</v>
      </c>
      <c r="X51" s="192">
        <f t="shared" si="21"/>
        <v>204349053</v>
      </c>
      <c r="Y51" s="190">
        <v>72680243</v>
      </c>
      <c r="Z51" s="190">
        <v>131668810</v>
      </c>
      <c r="AA51" s="190">
        <v>242035</v>
      </c>
      <c r="AB51" s="190">
        <v>5615324</v>
      </c>
      <c r="AC51" s="294">
        <f t="shared" si="18"/>
        <v>62</v>
      </c>
      <c r="AD51" s="190">
        <v>62</v>
      </c>
      <c r="AE51" s="294">
        <v>0</v>
      </c>
    </row>
    <row r="52" spans="1:31" s="67" customFormat="1" ht="11.25" hidden="1">
      <c r="A52" s="230" t="s">
        <v>217</v>
      </c>
      <c r="B52" s="229">
        <f t="shared" si="16"/>
        <v>534695659</v>
      </c>
      <c r="C52" s="190">
        <f>SUM(D52:G52)</f>
        <v>73650973</v>
      </c>
      <c r="D52" s="229">
        <v>39950000</v>
      </c>
      <c r="E52" s="229">
        <v>15655192</v>
      </c>
      <c r="F52" s="320">
        <v>91249</v>
      </c>
      <c r="G52" s="229">
        <v>17954532</v>
      </c>
      <c r="H52" s="190">
        <f t="shared" si="19"/>
        <v>78620459</v>
      </c>
      <c r="I52" s="190">
        <v>78620459</v>
      </c>
      <c r="J52" s="190">
        <f t="shared" si="20"/>
        <v>107552083</v>
      </c>
      <c r="K52" s="331">
        <v>85364299</v>
      </c>
      <c r="L52" s="229">
        <v>4496784</v>
      </c>
      <c r="M52" s="229">
        <v>4659673</v>
      </c>
      <c r="N52" s="229">
        <v>13031327</v>
      </c>
      <c r="O52" s="190">
        <f>SUM(P52:V52)</f>
        <v>71474292</v>
      </c>
      <c r="P52" s="229">
        <v>1431490</v>
      </c>
      <c r="Q52" s="229">
        <v>17648863</v>
      </c>
      <c r="R52" s="229">
        <v>22445045</v>
      </c>
      <c r="S52" s="320">
        <v>1176145</v>
      </c>
      <c r="T52" s="192">
        <f>24101144+1</f>
        <v>24101145</v>
      </c>
      <c r="U52" s="192">
        <v>1826756</v>
      </c>
      <c r="V52" s="192">
        <v>2844848</v>
      </c>
      <c r="W52" s="320">
        <v>0</v>
      </c>
      <c r="X52" s="192">
        <f t="shared" si="21"/>
        <v>179041418</v>
      </c>
      <c r="Y52" s="190">
        <v>64928877</v>
      </c>
      <c r="Z52" s="190">
        <v>114112541</v>
      </c>
      <c r="AA52" s="190">
        <v>125288</v>
      </c>
      <c r="AB52" s="190">
        <v>24231084</v>
      </c>
      <c r="AC52" s="294">
        <f t="shared" si="18"/>
        <v>62</v>
      </c>
      <c r="AD52" s="190">
        <v>62</v>
      </c>
      <c r="AE52" s="294">
        <v>0</v>
      </c>
    </row>
    <row r="53" spans="1:31" s="67" customFormat="1" ht="11.25" hidden="1">
      <c r="A53" s="230" t="s">
        <v>218</v>
      </c>
      <c r="B53" s="229">
        <f t="shared" si="16"/>
        <v>547911613</v>
      </c>
      <c r="C53" s="190">
        <f>SUM(D53:G53)</f>
        <v>99627152</v>
      </c>
      <c r="D53" s="229">
        <v>39950000</v>
      </c>
      <c r="E53" s="229">
        <v>22227361</v>
      </c>
      <c r="F53" s="320">
        <v>0</v>
      </c>
      <c r="G53" s="229">
        <v>37449791</v>
      </c>
      <c r="H53" s="190">
        <f t="shared" si="19"/>
        <v>80708278</v>
      </c>
      <c r="I53" s="190">
        <v>80708278</v>
      </c>
      <c r="J53" s="190">
        <f t="shared" si="20"/>
        <v>105234064</v>
      </c>
      <c r="K53" s="344">
        <v>83314962</v>
      </c>
      <c r="L53" s="345">
        <v>4536220</v>
      </c>
      <c r="M53" s="345">
        <v>4378679</v>
      </c>
      <c r="N53" s="339">
        <v>13004203</v>
      </c>
      <c r="O53" s="190">
        <f>SUM(P53:V53)</f>
        <v>71732915</v>
      </c>
      <c r="P53" s="229">
        <v>1430294</v>
      </c>
      <c r="Q53" s="229">
        <v>17602034</v>
      </c>
      <c r="R53" s="229">
        <v>22746208</v>
      </c>
      <c r="S53" s="320">
        <v>1169447</v>
      </c>
      <c r="T53" s="192">
        <v>24098695</v>
      </c>
      <c r="U53" s="192">
        <v>1913104</v>
      </c>
      <c r="V53" s="192">
        <v>2773133</v>
      </c>
      <c r="W53" s="320">
        <v>0</v>
      </c>
      <c r="X53" s="192">
        <f t="shared" si="21"/>
        <v>185620472</v>
      </c>
      <c r="Y53" s="190">
        <v>66405265</v>
      </c>
      <c r="Z53" s="190">
        <f>119215208-1</f>
        <v>119215207</v>
      </c>
      <c r="AA53" s="190">
        <v>154359</v>
      </c>
      <c r="AB53" s="190">
        <v>4834373</v>
      </c>
      <c r="AC53" s="294">
        <f t="shared" si="18"/>
        <v>0</v>
      </c>
      <c r="AD53" s="294">
        <v>0</v>
      </c>
      <c r="AE53" s="294">
        <v>0</v>
      </c>
    </row>
    <row r="54" spans="1:31" s="67" customFormat="1" ht="11.25" hidden="1">
      <c r="A54" s="230" t="s">
        <v>219</v>
      </c>
      <c r="B54" s="229">
        <f>C54+H54+J54+O54+W54+X54+AA54+AB54+AC54</f>
        <v>553803604</v>
      </c>
      <c r="C54" s="190">
        <f>SUM(D54:G54)</f>
        <v>102368516</v>
      </c>
      <c r="D54" s="229">
        <v>39950000</v>
      </c>
      <c r="E54" s="229">
        <v>24557011</v>
      </c>
      <c r="F54" s="320">
        <v>2489</v>
      </c>
      <c r="G54" s="229">
        <v>37859016</v>
      </c>
      <c r="H54" s="190">
        <f>I54</f>
        <v>81596644</v>
      </c>
      <c r="I54" s="190">
        <v>81596644</v>
      </c>
      <c r="J54" s="190">
        <f>SUM(K54:N54)</f>
        <v>106401918</v>
      </c>
      <c r="K54" s="331">
        <v>84731800</v>
      </c>
      <c r="L54" s="229">
        <v>4506713</v>
      </c>
      <c r="M54" s="229">
        <v>4236926</v>
      </c>
      <c r="N54" s="229">
        <v>12926479</v>
      </c>
      <c r="O54" s="229">
        <f>SUM(P54:V54)</f>
        <v>71376425</v>
      </c>
      <c r="P54" s="229">
        <v>1429265</v>
      </c>
      <c r="Q54" s="229">
        <v>17683019</v>
      </c>
      <c r="R54" s="229">
        <v>22543581</v>
      </c>
      <c r="S54" s="320">
        <v>1177862</v>
      </c>
      <c r="T54" s="192">
        <v>23896325</v>
      </c>
      <c r="U54" s="192">
        <v>1905367</v>
      </c>
      <c r="V54" s="192">
        <f>2741005+1</f>
        <v>2741006</v>
      </c>
      <c r="W54" s="320">
        <v>0</v>
      </c>
      <c r="X54" s="192">
        <f>Y54+Z54</f>
        <v>186897630</v>
      </c>
      <c r="Y54" s="190">
        <v>67695345</v>
      </c>
      <c r="Z54" s="190">
        <v>119202285</v>
      </c>
      <c r="AA54" s="190">
        <v>138345</v>
      </c>
      <c r="AB54" s="190">
        <v>5024126</v>
      </c>
      <c r="AC54" s="294">
        <f>SUM(AD54:AE54)</f>
        <v>0</v>
      </c>
      <c r="AD54" s="294">
        <v>0</v>
      </c>
      <c r="AE54" s="294">
        <v>0</v>
      </c>
    </row>
    <row r="55" spans="1:31" s="67" customFormat="1" ht="11.25" hidden="1">
      <c r="A55" s="230" t="s">
        <v>220</v>
      </c>
      <c r="B55" s="229">
        <f>C55+H55+J55+O55+W55+X55+AA55+AB55+AC55</f>
        <v>563137547</v>
      </c>
      <c r="C55" s="190">
        <f>SUM(D55:G55)</f>
        <v>101371314</v>
      </c>
      <c r="D55" s="229">
        <v>39950000</v>
      </c>
      <c r="E55" s="229">
        <v>23352022</v>
      </c>
      <c r="F55" s="320">
        <v>0</v>
      </c>
      <c r="G55" s="229">
        <v>38069292</v>
      </c>
      <c r="H55" s="190">
        <f t="shared" si="19"/>
        <v>83095814</v>
      </c>
      <c r="I55" s="190">
        <v>83095814</v>
      </c>
      <c r="J55" s="190">
        <f t="shared" si="20"/>
        <v>108667047</v>
      </c>
      <c r="K55" s="331">
        <v>86772254</v>
      </c>
      <c r="L55" s="229">
        <v>4604079</v>
      </c>
      <c r="M55" s="229">
        <v>4117128</v>
      </c>
      <c r="N55" s="229">
        <v>13173586</v>
      </c>
      <c r="O55" s="229">
        <f>SUM(P55:V55)</f>
        <v>72137961</v>
      </c>
      <c r="P55" s="229">
        <v>1428053</v>
      </c>
      <c r="Q55" s="229">
        <v>17799093</v>
      </c>
      <c r="R55" s="229">
        <v>22789576</v>
      </c>
      <c r="S55" s="320">
        <v>1184689</v>
      </c>
      <c r="T55" s="192">
        <v>23893877</v>
      </c>
      <c r="U55" s="192">
        <v>2332609</v>
      </c>
      <c r="V55" s="192">
        <v>2710064</v>
      </c>
      <c r="W55" s="320">
        <v>0</v>
      </c>
      <c r="X55" s="192">
        <f t="shared" si="21"/>
        <v>188002162</v>
      </c>
      <c r="Y55" s="190">
        <v>68348168</v>
      </c>
      <c r="Z55" s="190">
        <v>119653994</v>
      </c>
      <c r="AA55" s="190">
        <v>5043398</v>
      </c>
      <c r="AB55" s="190">
        <v>4819851</v>
      </c>
      <c r="AC55" s="294">
        <f t="shared" si="18"/>
        <v>0</v>
      </c>
      <c r="AD55" s="294">
        <v>0</v>
      </c>
      <c r="AE55" s="294">
        <v>0</v>
      </c>
    </row>
    <row r="56" spans="1:31" s="67" customFormat="1" ht="14.25">
      <c r="A56" s="270" t="s">
        <v>221</v>
      </c>
      <c r="B56" s="276"/>
      <c r="C56" s="276"/>
      <c r="D56" s="276"/>
      <c r="E56" s="276"/>
      <c r="F56" s="276"/>
      <c r="G56" s="276"/>
      <c r="H56" s="276"/>
      <c r="I56" s="276"/>
      <c r="J56" s="276"/>
      <c r="K56" s="276"/>
      <c r="L56" s="276"/>
      <c r="M56" s="276"/>
      <c r="N56" s="276"/>
      <c r="O56" s="276"/>
      <c r="P56" s="276"/>
      <c r="Q56" s="276"/>
      <c r="R56" s="276"/>
      <c r="S56" s="276"/>
      <c r="T56" s="276"/>
      <c r="U56" s="276"/>
      <c r="V56" s="276"/>
      <c r="W56" s="320"/>
      <c r="X56" s="276"/>
      <c r="Y56" s="276"/>
      <c r="Z56" s="276"/>
      <c r="AA56" s="276"/>
      <c r="AB56" s="276"/>
      <c r="AC56" s="276"/>
      <c r="AD56" s="276"/>
      <c r="AE56" s="276"/>
    </row>
    <row r="57" spans="1:31" s="67" customFormat="1" ht="11.25">
      <c r="A57" s="230" t="s">
        <v>222</v>
      </c>
      <c r="B57" s="229">
        <f aca="true" t="shared" si="22" ref="B57:B69">C57+H57+J57+O57+W57+X57+AA57+AB57+AC57</f>
        <v>537514288</v>
      </c>
      <c r="C57" s="190">
        <f aca="true" t="shared" si="23" ref="C57:C68">SUM(D57:G57)</f>
        <v>95186247</v>
      </c>
      <c r="D57" s="229">
        <v>39950000</v>
      </c>
      <c r="E57" s="229">
        <v>16386245</v>
      </c>
      <c r="F57" s="320">
        <v>764</v>
      </c>
      <c r="G57" s="229">
        <v>38849238</v>
      </c>
      <c r="H57" s="190">
        <f t="shared" si="19"/>
        <v>82226583</v>
      </c>
      <c r="I57" s="190">
        <v>82226583</v>
      </c>
      <c r="J57" s="190">
        <f t="shared" si="20"/>
        <v>102532611</v>
      </c>
      <c r="K57" s="191">
        <v>81224633</v>
      </c>
      <c r="L57" s="339">
        <v>4450299</v>
      </c>
      <c r="M57" s="339">
        <v>3833451</v>
      </c>
      <c r="N57" s="339">
        <v>13024228</v>
      </c>
      <c r="O57" s="229">
        <f aca="true" t="shared" si="24" ref="O57:O68">SUM(P57:V57)</f>
        <v>72759972</v>
      </c>
      <c r="P57" s="229">
        <v>1426934</v>
      </c>
      <c r="Q57" s="229">
        <v>18079956</v>
      </c>
      <c r="R57" s="229">
        <v>23088874</v>
      </c>
      <c r="S57" s="320">
        <v>1205043</v>
      </c>
      <c r="T57" s="192">
        <v>23891427</v>
      </c>
      <c r="U57" s="192">
        <v>2359675</v>
      </c>
      <c r="V57" s="192">
        <v>2708063</v>
      </c>
      <c r="W57" s="320">
        <v>0</v>
      </c>
      <c r="X57" s="192">
        <f t="shared" si="21"/>
        <v>180424623</v>
      </c>
      <c r="Y57" s="190">
        <v>62113853</v>
      </c>
      <c r="Z57" s="190">
        <v>118310770</v>
      </c>
      <c r="AA57" s="190">
        <v>361699</v>
      </c>
      <c r="AB57" s="190">
        <v>4022553</v>
      </c>
      <c r="AC57" s="294">
        <f t="shared" si="18"/>
        <v>0</v>
      </c>
      <c r="AD57" s="294">
        <v>0</v>
      </c>
      <c r="AE57" s="294">
        <v>0</v>
      </c>
    </row>
    <row r="58" spans="1:31" s="67" customFormat="1" ht="11.25">
      <c r="A58" s="230" t="s">
        <v>224</v>
      </c>
      <c r="B58" s="229">
        <f t="shared" si="22"/>
        <v>551749165</v>
      </c>
      <c r="C58" s="190">
        <f t="shared" si="23"/>
        <v>97244414</v>
      </c>
      <c r="D58" s="229">
        <v>39950000</v>
      </c>
      <c r="E58" s="229">
        <v>19993602</v>
      </c>
      <c r="F58" s="320">
        <v>498</v>
      </c>
      <c r="G58" s="229">
        <v>37300314</v>
      </c>
      <c r="H58" s="190">
        <f t="shared" si="19"/>
        <v>82070732</v>
      </c>
      <c r="I58" s="190">
        <v>82070732</v>
      </c>
      <c r="J58" s="190">
        <f t="shared" si="20"/>
        <v>104783169</v>
      </c>
      <c r="K58" s="191">
        <v>82547600</v>
      </c>
      <c r="L58" s="339">
        <v>4671710</v>
      </c>
      <c r="M58" s="339">
        <v>4034194</v>
      </c>
      <c r="N58" s="339">
        <v>13529665</v>
      </c>
      <c r="O58" s="229">
        <f t="shared" si="24"/>
        <v>73023145</v>
      </c>
      <c r="P58" s="229">
        <v>1425870</v>
      </c>
      <c r="Q58" s="229">
        <v>18132630</v>
      </c>
      <c r="R58" s="229">
        <v>22888549</v>
      </c>
      <c r="S58" s="320">
        <v>1205500</v>
      </c>
      <c r="T58" s="192">
        <v>23889215</v>
      </c>
      <c r="U58" s="192">
        <v>2816072</v>
      </c>
      <c r="V58" s="192">
        <v>2665309</v>
      </c>
      <c r="W58" s="320">
        <v>0</v>
      </c>
      <c r="X58" s="192">
        <f t="shared" si="21"/>
        <v>189858487</v>
      </c>
      <c r="Y58" s="190">
        <v>64200577</v>
      </c>
      <c r="Z58" s="190">
        <v>125657910</v>
      </c>
      <c r="AA58" s="190">
        <v>282485</v>
      </c>
      <c r="AB58" s="190">
        <v>4486733</v>
      </c>
      <c r="AC58" s="294">
        <f aca="true" t="shared" si="25" ref="AC58:AC68">SUM(AD58:AE58)</f>
        <v>0</v>
      </c>
      <c r="AD58" s="294">
        <v>0</v>
      </c>
      <c r="AE58" s="294">
        <v>0</v>
      </c>
    </row>
    <row r="59" spans="1:31" s="67" customFormat="1" ht="11.25">
      <c r="A59" s="230" t="s">
        <v>226</v>
      </c>
      <c r="B59" s="229">
        <f t="shared" si="22"/>
        <v>563571590</v>
      </c>
      <c r="C59" s="190">
        <f t="shared" si="23"/>
        <v>102068036</v>
      </c>
      <c r="D59" s="229">
        <v>39750000</v>
      </c>
      <c r="E59" s="229">
        <v>24475707</v>
      </c>
      <c r="F59" s="320">
        <v>14572</v>
      </c>
      <c r="G59" s="229">
        <v>37827757</v>
      </c>
      <c r="H59" s="190">
        <f t="shared" si="19"/>
        <v>82572458</v>
      </c>
      <c r="I59" s="190">
        <v>82572458</v>
      </c>
      <c r="J59" s="190">
        <f t="shared" si="20"/>
        <v>106162435</v>
      </c>
      <c r="K59" s="191">
        <v>83569556</v>
      </c>
      <c r="L59" s="339">
        <v>4725057</v>
      </c>
      <c r="M59" s="339">
        <v>4215597</v>
      </c>
      <c r="N59" s="339">
        <v>13652225</v>
      </c>
      <c r="O59" s="229">
        <f t="shared" si="24"/>
        <v>73742763</v>
      </c>
      <c r="P59" s="229">
        <v>1425333</v>
      </c>
      <c r="Q59" s="229">
        <v>18530002</v>
      </c>
      <c r="R59" s="229">
        <v>23090143</v>
      </c>
      <c r="S59" s="320">
        <v>1212528</v>
      </c>
      <c r="T59" s="192">
        <v>23886766</v>
      </c>
      <c r="U59" s="192">
        <v>2958638</v>
      </c>
      <c r="V59" s="192">
        <v>2639353</v>
      </c>
      <c r="W59" s="320">
        <v>0</v>
      </c>
      <c r="X59" s="192">
        <f t="shared" si="21"/>
        <v>194671098</v>
      </c>
      <c r="Y59" s="190">
        <v>65379579</v>
      </c>
      <c r="Z59" s="190">
        <v>129291519</v>
      </c>
      <c r="AA59" s="190">
        <v>144997</v>
      </c>
      <c r="AB59" s="190">
        <v>4209803</v>
      </c>
      <c r="AC59" s="294">
        <f t="shared" si="25"/>
        <v>0</v>
      </c>
      <c r="AD59" s="294">
        <v>0</v>
      </c>
      <c r="AE59" s="294">
        <v>0</v>
      </c>
    </row>
    <row r="60" spans="1:31" s="67" customFormat="1" ht="11.25">
      <c r="A60" s="230" t="s">
        <v>227</v>
      </c>
      <c r="B60" s="229">
        <f t="shared" si="22"/>
        <v>570210752</v>
      </c>
      <c r="C60" s="190">
        <f t="shared" si="23"/>
        <v>107376999</v>
      </c>
      <c r="D60" s="229">
        <v>39750000</v>
      </c>
      <c r="E60" s="229">
        <v>29509367</v>
      </c>
      <c r="F60" s="320">
        <v>811</v>
      </c>
      <c r="G60" s="229">
        <v>38116821</v>
      </c>
      <c r="H60" s="190">
        <f aca="true" t="shared" si="26" ref="H60:H67">I60</f>
        <v>82438522</v>
      </c>
      <c r="I60" s="190">
        <v>82438522</v>
      </c>
      <c r="J60" s="190">
        <f aca="true" t="shared" si="27" ref="J60:J67">SUM(K60:N60)</f>
        <v>105465256</v>
      </c>
      <c r="K60" s="191">
        <v>83216683</v>
      </c>
      <c r="L60" s="339">
        <v>4680546</v>
      </c>
      <c r="M60" s="339">
        <v>3994091</v>
      </c>
      <c r="N60" s="339">
        <v>13573936</v>
      </c>
      <c r="O60" s="229">
        <f t="shared" si="24"/>
        <v>73828994</v>
      </c>
      <c r="P60" s="229">
        <v>1424180</v>
      </c>
      <c r="Q60" s="229">
        <v>18282571</v>
      </c>
      <c r="R60" s="229">
        <v>22939701</v>
      </c>
      <c r="S60" s="320">
        <v>1201451</v>
      </c>
      <c r="T60" s="192">
        <v>23884396</v>
      </c>
      <c r="U60" s="192">
        <v>3523284</v>
      </c>
      <c r="V60" s="192">
        <v>2573411</v>
      </c>
      <c r="W60" s="320">
        <v>0</v>
      </c>
      <c r="X60" s="192">
        <f aca="true" t="shared" si="28" ref="X60:X67">Y60+Z60</f>
        <v>196964935</v>
      </c>
      <c r="Y60" s="190">
        <v>65091832</v>
      </c>
      <c r="Z60" s="190">
        <v>131873103</v>
      </c>
      <c r="AA60" s="190">
        <v>94553</v>
      </c>
      <c r="AB60" s="190">
        <v>4041493</v>
      </c>
      <c r="AC60" s="294">
        <f t="shared" si="25"/>
        <v>0</v>
      </c>
      <c r="AD60" s="294">
        <v>0</v>
      </c>
      <c r="AE60" s="294">
        <v>0</v>
      </c>
    </row>
    <row r="61" spans="1:31" s="67" customFormat="1" ht="11.25">
      <c r="A61" s="230" t="s">
        <v>229</v>
      </c>
      <c r="B61" s="229">
        <f aca="true" t="shared" si="29" ref="B61:B67">C61+H61+J61+O61+W61+X61+AA61+AB61+AC61</f>
        <v>576750881</v>
      </c>
      <c r="C61" s="190">
        <f t="shared" si="23"/>
        <v>113134204</v>
      </c>
      <c r="D61" s="229">
        <v>39750000</v>
      </c>
      <c r="E61" s="229">
        <v>28062993</v>
      </c>
      <c r="F61" s="320">
        <v>9705</v>
      </c>
      <c r="G61" s="229">
        <v>45311506</v>
      </c>
      <c r="H61" s="190">
        <f t="shared" si="26"/>
        <v>85143796</v>
      </c>
      <c r="I61" s="190">
        <v>85143796</v>
      </c>
      <c r="J61" s="190">
        <f t="shared" si="27"/>
        <v>111112742</v>
      </c>
      <c r="K61" s="191">
        <v>88334648</v>
      </c>
      <c r="L61" s="339">
        <v>4871572</v>
      </c>
      <c r="M61" s="339">
        <v>4142658</v>
      </c>
      <c r="N61" s="339">
        <v>13763864</v>
      </c>
      <c r="O61" s="229">
        <f t="shared" si="24"/>
        <v>73621480</v>
      </c>
      <c r="P61" s="229">
        <v>1422987</v>
      </c>
      <c r="Q61" s="229">
        <v>18245716</v>
      </c>
      <c r="R61" s="229">
        <v>22864196</v>
      </c>
      <c r="S61" s="320">
        <v>1192960</v>
      </c>
      <c r="T61" s="192">
        <v>23881947</v>
      </c>
      <c r="U61" s="192">
        <v>3503859</v>
      </c>
      <c r="V61" s="192">
        <v>2509815</v>
      </c>
      <c r="W61" s="320">
        <v>0</v>
      </c>
      <c r="X61" s="192">
        <f t="shared" si="28"/>
        <v>189370265</v>
      </c>
      <c r="Y61" s="190">
        <v>67400470</v>
      </c>
      <c r="Z61" s="190">
        <v>121969795</v>
      </c>
      <c r="AA61" s="190">
        <v>134818</v>
      </c>
      <c r="AB61" s="190">
        <v>4233576</v>
      </c>
      <c r="AC61" s="294">
        <f t="shared" si="25"/>
        <v>0</v>
      </c>
      <c r="AD61" s="294">
        <v>0</v>
      </c>
      <c r="AE61" s="294">
        <v>0</v>
      </c>
    </row>
    <row r="62" spans="1:31" s="67" customFormat="1" ht="11.25">
      <c r="A62" s="230" t="s">
        <v>230</v>
      </c>
      <c r="B62" s="229">
        <f t="shared" si="29"/>
        <v>587419821</v>
      </c>
      <c r="C62" s="190">
        <f aca="true" t="shared" si="30" ref="C62:C67">SUM(D62:G62)</f>
        <v>120823803</v>
      </c>
      <c r="D62" s="229">
        <v>39750000</v>
      </c>
      <c r="E62" s="229">
        <v>24355061</v>
      </c>
      <c r="F62" s="320">
        <v>22934</v>
      </c>
      <c r="G62" s="229">
        <v>56695808</v>
      </c>
      <c r="H62" s="190">
        <f t="shared" si="26"/>
        <v>86996797</v>
      </c>
      <c r="I62" s="190">
        <v>86996797</v>
      </c>
      <c r="J62" s="190">
        <f t="shared" si="27"/>
        <v>115292811</v>
      </c>
      <c r="K62" s="191">
        <v>92007390</v>
      </c>
      <c r="L62" s="339">
        <v>5045855</v>
      </c>
      <c r="M62" s="339">
        <v>4241515</v>
      </c>
      <c r="N62" s="339">
        <v>13998051</v>
      </c>
      <c r="O62" s="229">
        <f aca="true" t="shared" si="31" ref="O62:O67">SUM(P62:V62)</f>
        <v>73915105</v>
      </c>
      <c r="P62" s="229">
        <v>1421664</v>
      </c>
      <c r="Q62" s="229">
        <v>18333961</v>
      </c>
      <c r="R62" s="229">
        <v>22513733</v>
      </c>
      <c r="S62" s="320">
        <v>1187651</v>
      </c>
      <c r="T62" s="192">
        <v>23879577</v>
      </c>
      <c r="U62" s="192">
        <v>3506125</v>
      </c>
      <c r="V62" s="192">
        <v>3072394</v>
      </c>
      <c r="W62" s="320">
        <v>0</v>
      </c>
      <c r="X62" s="192">
        <f t="shared" si="28"/>
        <v>180405853</v>
      </c>
      <c r="Y62" s="190">
        <v>69641927</v>
      </c>
      <c r="Z62" s="190">
        <v>110763926</v>
      </c>
      <c r="AA62" s="190">
        <v>5251338</v>
      </c>
      <c r="AB62" s="190">
        <v>4734114</v>
      </c>
      <c r="AC62" s="294">
        <f t="shared" si="25"/>
        <v>0</v>
      </c>
      <c r="AD62" s="294">
        <v>0</v>
      </c>
      <c r="AE62" s="294">
        <v>0</v>
      </c>
    </row>
    <row r="63" spans="1:31" s="67" customFormat="1" ht="11.25">
      <c r="A63" s="230" t="s">
        <v>231</v>
      </c>
      <c r="B63" s="229">
        <f t="shared" si="29"/>
        <v>564378521</v>
      </c>
      <c r="C63" s="190">
        <f t="shared" si="30"/>
        <v>100644699</v>
      </c>
      <c r="D63" s="229">
        <v>39750000</v>
      </c>
      <c r="E63" s="229">
        <v>5419455</v>
      </c>
      <c r="F63" s="320">
        <v>135560</v>
      </c>
      <c r="G63" s="229">
        <v>55339684</v>
      </c>
      <c r="H63" s="190">
        <f t="shared" si="26"/>
        <v>84180109</v>
      </c>
      <c r="I63" s="190">
        <v>84180109</v>
      </c>
      <c r="J63" s="190">
        <f t="shared" si="27"/>
        <v>116797555</v>
      </c>
      <c r="K63" s="191">
        <v>93715923</v>
      </c>
      <c r="L63" s="339">
        <v>5101772</v>
      </c>
      <c r="M63" s="339">
        <v>3878096</v>
      </c>
      <c r="N63" s="339">
        <v>14101764</v>
      </c>
      <c r="O63" s="229">
        <f t="shared" si="31"/>
        <v>76370428</v>
      </c>
      <c r="P63" s="229">
        <v>1420540</v>
      </c>
      <c r="Q63" s="229">
        <v>18197044</v>
      </c>
      <c r="R63" s="229">
        <v>23188250</v>
      </c>
      <c r="S63" s="320">
        <v>1192889</v>
      </c>
      <c r="T63" s="192">
        <v>24227156</v>
      </c>
      <c r="U63" s="192">
        <v>3673948</v>
      </c>
      <c r="V63" s="192">
        <v>4470601</v>
      </c>
      <c r="W63" s="320">
        <v>0</v>
      </c>
      <c r="X63" s="192">
        <f t="shared" si="28"/>
        <v>179721532</v>
      </c>
      <c r="Y63" s="190">
        <v>69418545</v>
      </c>
      <c r="Z63" s="190">
        <v>110302987</v>
      </c>
      <c r="AA63" s="190">
        <v>1030046</v>
      </c>
      <c r="AB63" s="190">
        <v>5634152</v>
      </c>
      <c r="AC63" s="294">
        <f>SUM(AD63:AE63)</f>
        <v>0</v>
      </c>
      <c r="AD63" s="294">
        <v>0</v>
      </c>
      <c r="AE63" s="294">
        <v>0</v>
      </c>
    </row>
    <row r="64" spans="1:31" s="67" customFormat="1" ht="11.25">
      <c r="A64" s="230" t="s">
        <v>232</v>
      </c>
      <c r="B64" s="229">
        <f t="shared" si="29"/>
        <v>575301358</v>
      </c>
      <c r="C64" s="190">
        <f t="shared" si="30"/>
        <v>104245385</v>
      </c>
      <c r="D64" s="229">
        <v>40250000</v>
      </c>
      <c r="E64" s="229">
        <v>9620338</v>
      </c>
      <c r="F64" s="320">
        <v>78964</v>
      </c>
      <c r="G64" s="229">
        <v>54296083</v>
      </c>
      <c r="H64" s="190">
        <f t="shared" si="26"/>
        <v>84818426</v>
      </c>
      <c r="I64" s="190">
        <v>84818426</v>
      </c>
      <c r="J64" s="190">
        <f t="shared" si="27"/>
        <v>118367015</v>
      </c>
      <c r="K64" s="191">
        <v>94620944</v>
      </c>
      <c r="L64" s="339">
        <v>5348900</v>
      </c>
      <c r="M64" s="339">
        <v>3956200</v>
      </c>
      <c r="N64" s="339">
        <v>14440971</v>
      </c>
      <c r="O64" s="229">
        <f t="shared" si="31"/>
        <v>77748355</v>
      </c>
      <c r="P64" s="229">
        <v>1419234</v>
      </c>
      <c r="Q64" s="229">
        <v>18061784</v>
      </c>
      <c r="R64" s="229">
        <v>23885282</v>
      </c>
      <c r="S64" s="320">
        <v>2065129</v>
      </c>
      <c r="T64" s="192">
        <v>24224707</v>
      </c>
      <c r="U64" s="192">
        <v>3671051</v>
      </c>
      <c r="V64" s="192">
        <v>4421168</v>
      </c>
      <c r="W64" s="320">
        <v>0</v>
      </c>
      <c r="X64" s="192">
        <f t="shared" si="28"/>
        <v>184584511</v>
      </c>
      <c r="Y64" s="190">
        <v>72213772</v>
      </c>
      <c r="Z64" s="190">
        <v>112370739</v>
      </c>
      <c r="AA64" s="190">
        <v>178014</v>
      </c>
      <c r="AB64" s="190">
        <v>5359652</v>
      </c>
      <c r="AC64" s="294">
        <f>SUM(AD64:AE64)</f>
        <v>0</v>
      </c>
      <c r="AD64" s="294">
        <v>0</v>
      </c>
      <c r="AE64" s="294">
        <v>0</v>
      </c>
    </row>
    <row r="65" spans="1:31" s="67" customFormat="1" ht="11.25">
      <c r="A65" s="230" t="s">
        <v>236</v>
      </c>
      <c r="B65" s="229">
        <f t="shared" si="29"/>
        <v>569896734</v>
      </c>
      <c r="C65" s="190">
        <f t="shared" si="30"/>
        <v>104154371</v>
      </c>
      <c r="D65" s="229">
        <v>39650000</v>
      </c>
      <c r="E65" s="229">
        <v>9811211</v>
      </c>
      <c r="F65" s="320">
        <v>145882</v>
      </c>
      <c r="G65" s="229">
        <v>54547278</v>
      </c>
      <c r="H65" s="190">
        <f t="shared" si="26"/>
        <v>84321875</v>
      </c>
      <c r="I65" s="190">
        <v>84321875</v>
      </c>
      <c r="J65" s="190">
        <f t="shared" si="27"/>
        <v>114210059</v>
      </c>
      <c r="K65" s="191">
        <v>90846444</v>
      </c>
      <c r="L65" s="339">
        <v>5232919</v>
      </c>
      <c r="M65" s="339">
        <v>3854995</v>
      </c>
      <c r="N65" s="339">
        <v>14275701</v>
      </c>
      <c r="O65" s="229">
        <f t="shared" si="31"/>
        <v>78661031</v>
      </c>
      <c r="P65" s="229">
        <v>1418031</v>
      </c>
      <c r="Q65" s="229">
        <v>18036923</v>
      </c>
      <c r="R65" s="229">
        <v>23913865</v>
      </c>
      <c r="S65" s="320">
        <v>2100222</v>
      </c>
      <c r="T65" s="192">
        <v>24821123</v>
      </c>
      <c r="U65" s="192">
        <v>3914870</v>
      </c>
      <c r="V65" s="192">
        <v>4455997</v>
      </c>
      <c r="W65" s="320">
        <v>0</v>
      </c>
      <c r="X65" s="192">
        <f t="shared" si="28"/>
        <v>184229071</v>
      </c>
      <c r="Y65" s="190">
        <v>74526180</v>
      </c>
      <c r="Z65" s="190">
        <v>109702891</v>
      </c>
      <c r="AA65" s="190">
        <v>112338</v>
      </c>
      <c r="AB65" s="190">
        <v>4207989</v>
      </c>
      <c r="AC65" s="294">
        <f>SUM(AD65:AE65)</f>
        <v>0</v>
      </c>
      <c r="AD65" s="294">
        <v>0</v>
      </c>
      <c r="AE65" s="294">
        <v>0</v>
      </c>
    </row>
    <row r="66" spans="1:31" s="67" customFormat="1" ht="11.25">
      <c r="A66" s="230" t="s">
        <v>238</v>
      </c>
      <c r="B66" s="229">
        <f t="shared" si="29"/>
        <v>574996833</v>
      </c>
      <c r="C66" s="190">
        <f t="shared" si="30"/>
        <v>104322402</v>
      </c>
      <c r="D66" s="229">
        <v>39650000</v>
      </c>
      <c r="E66" s="229">
        <v>17525026</v>
      </c>
      <c r="F66" s="320">
        <v>0</v>
      </c>
      <c r="G66" s="229">
        <v>47147376</v>
      </c>
      <c r="H66" s="190">
        <f t="shared" si="26"/>
        <v>81863568</v>
      </c>
      <c r="I66" s="190">
        <v>81863568</v>
      </c>
      <c r="J66" s="190">
        <f t="shared" si="27"/>
        <v>117185215</v>
      </c>
      <c r="K66" s="191">
        <v>93698944</v>
      </c>
      <c r="L66" s="339">
        <v>5273390</v>
      </c>
      <c r="M66" s="339">
        <v>3778693</v>
      </c>
      <c r="N66" s="339">
        <v>14434188</v>
      </c>
      <c r="O66" s="229">
        <f t="shared" si="31"/>
        <v>79039851</v>
      </c>
      <c r="P66" s="229">
        <v>1416831</v>
      </c>
      <c r="Q66" s="229">
        <v>18053935</v>
      </c>
      <c r="R66" s="229">
        <v>24212229</v>
      </c>
      <c r="S66" s="320">
        <v>2103261</v>
      </c>
      <c r="T66" s="192">
        <v>24918266</v>
      </c>
      <c r="U66" s="192">
        <v>3928040</v>
      </c>
      <c r="V66" s="192">
        <v>4407289</v>
      </c>
      <c r="W66" s="320">
        <v>0</v>
      </c>
      <c r="X66" s="192">
        <f t="shared" si="28"/>
        <v>187945790</v>
      </c>
      <c r="Y66" s="190">
        <v>68898791</v>
      </c>
      <c r="Z66" s="190">
        <v>119046999</v>
      </c>
      <c r="AA66" s="190">
        <v>119690</v>
      </c>
      <c r="AB66" s="190">
        <v>4520317</v>
      </c>
      <c r="AC66" s="294">
        <f>SUM(AD66:AE66)</f>
        <v>0</v>
      </c>
      <c r="AD66" s="294">
        <v>0</v>
      </c>
      <c r="AE66" s="294">
        <v>0</v>
      </c>
    </row>
    <row r="67" spans="1:31" s="67" customFormat="1" ht="11.25">
      <c r="A67" s="230" t="s">
        <v>239</v>
      </c>
      <c r="B67" s="229">
        <f t="shared" si="29"/>
        <v>589785516</v>
      </c>
      <c r="C67" s="190">
        <f t="shared" si="30"/>
        <v>111084115</v>
      </c>
      <c r="D67" s="229">
        <v>39650000</v>
      </c>
      <c r="E67" s="229">
        <v>23504628</v>
      </c>
      <c r="F67" s="320">
        <v>1680</v>
      </c>
      <c r="G67" s="229">
        <v>47927807</v>
      </c>
      <c r="H67" s="190">
        <f t="shared" si="26"/>
        <v>83572456</v>
      </c>
      <c r="I67" s="190">
        <v>83572456</v>
      </c>
      <c r="J67" s="190">
        <f t="shared" si="27"/>
        <v>115604623</v>
      </c>
      <c r="K67" s="191">
        <v>91552235</v>
      </c>
      <c r="L67" s="339">
        <v>5337868</v>
      </c>
      <c r="M67" s="339">
        <v>3867353</v>
      </c>
      <c r="N67" s="339">
        <v>14847167</v>
      </c>
      <c r="O67" s="229">
        <f t="shared" si="31"/>
        <v>80002854</v>
      </c>
      <c r="P67" s="229">
        <v>1415711</v>
      </c>
      <c r="Q67" s="229">
        <v>18250511</v>
      </c>
      <c r="R67" s="229">
        <v>24412357</v>
      </c>
      <c r="S67" s="320">
        <v>2134321</v>
      </c>
      <c r="T67" s="192">
        <v>25016500</v>
      </c>
      <c r="U67" s="192">
        <v>3925122</v>
      </c>
      <c r="V67" s="192">
        <v>4848332</v>
      </c>
      <c r="W67" s="320">
        <v>0</v>
      </c>
      <c r="X67" s="192">
        <f t="shared" si="28"/>
        <v>194802918</v>
      </c>
      <c r="Y67" s="190">
        <v>70584375</v>
      </c>
      <c r="Z67" s="190">
        <v>124218543</v>
      </c>
      <c r="AA67" s="190">
        <v>152014</v>
      </c>
      <c r="AB67" s="190">
        <v>4566536</v>
      </c>
      <c r="AC67" s="294">
        <f>SUM(AD67:AE67)</f>
        <v>0</v>
      </c>
      <c r="AD67" s="294">
        <v>0</v>
      </c>
      <c r="AE67" s="294">
        <v>0</v>
      </c>
    </row>
    <row r="68" spans="1:31" s="67" customFormat="1" ht="11.25">
      <c r="A68" s="230" t="s">
        <v>243</v>
      </c>
      <c r="B68" s="229">
        <f t="shared" si="22"/>
        <v>595526075</v>
      </c>
      <c r="C68" s="190">
        <f t="shared" si="23"/>
        <v>121443363</v>
      </c>
      <c r="D68" s="229">
        <v>39650000</v>
      </c>
      <c r="E68" s="229">
        <v>32935457</v>
      </c>
      <c r="F68" s="320">
        <v>0</v>
      </c>
      <c r="G68" s="229">
        <v>48857906</v>
      </c>
      <c r="H68" s="190">
        <f t="shared" si="19"/>
        <v>84924398</v>
      </c>
      <c r="I68" s="190">
        <v>84924398</v>
      </c>
      <c r="J68" s="190">
        <f t="shared" si="20"/>
        <v>118012153</v>
      </c>
      <c r="K68" s="191">
        <v>94528190</v>
      </c>
      <c r="L68" s="337">
        <v>5156542</v>
      </c>
      <c r="M68" s="337">
        <v>3801159</v>
      </c>
      <c r="N68" s="337">
        <v>14526262</v>
      </c>
      <c r="O68" s="229">
        <f t="shared" si="24"/>
        <v>81262711</v>
      </c>
      <c r="P68" s="229">
        <v>1414521</v>
      </c>
      <c r="Q68" s="229">
        <v>18556478</v>
      </c>
      <c r="R68" s="229">
        <v>24013897</v>
      </c>
      <c r="S68" s="320">
        <v>2178501</v>
      </c>
      <c r="T68" s="192">
        <v>25014065</v>
      </c>
      <c r="U68" s="192">
        <v>3950240</v>
      </c>
      <c r="V68" s="192">
        <v>6135009</v>
      </c>
      <c r="W68" s="320">
        <v>0</v>
      </c>
      <c r="X68" s="192">
        <f t="shared" si="21"/>
        <v>180127651</v>
      </c>
      <c r="Y68" s="190">
        <v>58871009</v>
      </c>
      <c r="Z68" s="190">
        <v>121256642</v>
      </c>
      <c r="AA68" s="190">
        <v>5615490</v>
      </c>
      <c r="AB68" s="190">
        <v>4140309</v>
      </c>
      <c r="AC68" s="294">
        <f t="shared" si="25"/>
        <v>0</v>
      </c>
      <c r="AD68" s="294">
        <v>0</v>
      </c>
      <c r="AE68" s="294">
        <v>0</v>
      </c>
    </row>
    <row r="69" spans="1:32" s="323" customFormat="1" ht="15.75">
      <c r="A69" s="88" t="s">
        <v>10</v>
      </c>
      <c r="B69" s="94">
        <f t="shared" si="22"/>
        <v>100</v>
      </c>
      <c r="C69" s="94">
        <f>ROUND(C68/$B68*100,2)</f>
        <v>20.39</v>
      </c>
      <c r="D69" s="94"/>
      <c r="E69" s="94"/>
      <c r="F69" s="94"/>
      <c r="G69" s="94"/>
      <c r="H69" s="94">
        <f>ROUND(H68/$B68*100,2)</f>
        <v>14.26</v>
      </c>
      <c r="I69" s="94"/>
      <c r="J69" s="94">
        <f>ROUND(J68/$B68*100,2)</f>
        <v>19.82</v>
      </c>
      <c r="K69" s="94"/>
      <c r="L69" s="94"/>
      <c r="M69" s="94"/>
      <c r="N69" s="94"/>
      <c r="O69" s="94">
        <f>ROUND(O68/$B68,4)*100</f>
        <v>13.65</v>
      </c>
      <c r="P69" s="94"/>
      <c r="Q69" s="94"/>
      <c r="R69" s="94"/>
      <c r="S69" s="94"/>
      <c r="T69" s="94"/>
      <c r="U69" s="94"/>
      <c r="V69" s="94"/>
      <c r="W69" s="94">
        <f>ROUND(W68/$B68*100,2)</f>
        <v>0</v>
      </c>
      <c r="X69" s="94">
        <f>ROUND(X68/$B68*100,2)</f>
        <v>30.25</v>
      </c>
      <c r="Y69" s="321"/>
      <c r="Z69" s="94"/>
      <c r="AA69" s="94">
        <f>ROUND(AA68/$B68*100,2)</f>
        <v>0.94</v>
      </c>
      <c r="AB69" s="379">
        <f>ROUND(AB68/$B68*100,2)-0.01</f>
        <v>0.69</v>
      </c>
      <c r="AC69" s="94">
        <f>ROUND(AC68/$B68*100,2)</f>
        <v>0</v>
      </c>
      <c r="AD69" s="94"/>
      <c r="AE69" s="94"/>
      <c r="AF69" s="322"/>
    </row>
    <row r="70" spans="2:32" ht="15.75">
      <c r="B70" s="178" t="s">
        <v>210</v>
      </c>
      <c r="J70" s="179"/>
      <c r="K70" s="340"/>
      <c r="L70" s="180"/>
      <c r="M70" s="180"/>
      <c r="N70" s="180"/>
      <c r="P70" s="180"/>
      <c r="Q70" s="180"/>
      <c r="R70" s="180"/>
      <c r="T70" s="180"/>
      <c r="U70" s="180"/>
      <c r="V70" s="310"/>
      <c r="AF70" s="311"/>
    </row>
    <row r="71" spans="8:22" ht="15.75">
      <c r="H71" s="310"/>
      <c r="K71" s="340"/>
      <c r="N71" s="310"/>
      <c r="P71" s="310"/>
      <c r="Q71" s="310"/>
      <c r="R71" s="310"/>
      <c r="S71" s="310"/>
      <c r="T71" s="310"/>
      <c r="U71" s="333"/>
      <c r="V71" s="310"/>
    </row>
    <row r="72" spans="8:22" ht="15.75">
      <c r="H72" s="310"/>
      <c r="K72" s="340"/>
      <c r="N72" s="310"/>
      <c r="P72" s="310"/>
      <c r="Q72" s="310"/>
      <c r="R72" s="310"/>
      <c r="S72" s="310"/>
      <c r="T72" s="310"/>
      <c r="U72" s="310"/>
      <c r="V72" s="310"/>
    </row>
    <row r="73" spans="8:22" ht="15.75">
      <c r="H73" s="310"/>
      <c r="K73" s="310"/>
      <c r="L73" s="310"/>
      <c r="M73" s="310"/>
      <c r="N73" s="310"/>
      <c r="P73" s="310"/>
      <c r="Q73" s="310"/>
      <c r="R73" s="310"/>
      <c r="S73" s="310"/>
      <c r="T73" s="310"/>
      <c r="U73" s="310"/>
      <c r="V73" s="310"/>
    </row>
    <row r="74" spans="11:22" ht="15.75">
      <c r="K74" s="310"/>
      <c r="L74" s="310"/>
      <c r="M74" s="310"/>
      <c r="N74" s="310"/>
      <c r="P74" s="310"/>
      <c r="Q74" s="310"/>
      <c r="R74" s="310"/>
      <c r="S74" s="310"/>
      <c r="T74" s="310"/>
      <c r="U74" s="310"/>
      <c r="V74" s="310"/>
    </row>
    <row r="75" spans="16:22" ht="15.75">
      <c r="P75" s="310"/>
      <c r="Q75" s="310"/>
      <c r="R75" s="310"/>
      <c r="S75" s="310"/>
      <c r="T75" s="310"/>
      <c r="U75" s="310"/>
      <c r="V75" s="310"/>
    </row>
  </sheetData>
  <sheetProtection/>
  <mergeCells count="29">
    <mergeCell ref="K4:N4"/>
    <mergeCell ref="W5:W7"/>
    <mergeCell ref="O5:V5"/>
    <mergeCell ref="P6:Q6"/>
    <mergeCell ref="R6:S6"/>
    <mergeCell ref="J5:N5"/>
    <mergeCell ref="T6:U6"/>
    <mergeCell ref="X6:X7"/>
    <mergeCell ref="AE6:AE7"/>
    <mergeCell ref="AC6:AC7"/>
    <mergeCell ref="AA5:AA7"/>
    <mergeCell ref="AB5:AB7"/>
    <mergeCell ref="AD6:AD7"/>
    <mergeCell ref="Y6:Y7"/>
    <mergeCell ref="Z6:Z7"/>
    <mergeCell ref="X5:Z5"/>
    <mergeCell ref="A5:A7"/>
    <mergeCell ref="C6:C7"/>
    <mergeCell ref="H6:H7"/>
    <mergeCell ref="D6:D7"/>
    <mergeCell ref="E6:E7"/>
    <mergeCell ref="F6:F7"/>
    <mergeCell ref="G6:G7"/>
    <mergeCell ref="B5:B7"/>
    <mergeCell ref="I6:I7"/>
    <mergeCell ref="J6:J7"/>
    <mergeCell ref="O6:O7"/>
    <mergeCell ref="K6:L6"/>
    <mergeCell ref="M6:N6"/>
  </mergeCells>
  <printOptions horizontalCentered="1" verticalCentered="1"/>
  <pageMargins left="0.43" right="0.1968503937007874" top="0.35433070866141736" bottom="0.2755905511811024" header="0.4724409448818898" footer="0.35433070866141736"/>
  <pageSetup horizontalDpi="600" verticalDpi="600" orientation="landscape" pageOrder="overThenDown" paperSize="9" scale="80" r:id="rId1"/>
  <colBreaks count="1" manualBreakCount="1">
    <brk id="1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</sheetPr>
  <dimension ref="A1:AR65"/>
  <sheetViews>
    <sheetView zoomScale="150" zoomScaleNormal="150" zoomScalePageLayoutView="0" workbookViewId="0" topLeftCell="A1">
      <pane xSplit="1" ySplit="5" topLeftCell="S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61" sqref="G61"/>
    </sheetView>
  </sheetViews>
  <sheetFormatPr defaultColWidth="9.00390625" defaultRowHeight="36" customHeight="1"/>
  <cols>
    <col min="1" max="1" width="10.625" style="140" customWidth="1"/>
    <col min="2" max="2" width="10.375" style="140" customWidth="1"/>
    <col min="3" max="3" width="9.50390625" style="140" bestFit="1" customWidth="1"/>
    <col min="4" max="4" width="9.75390625" style="140" customWidth="1"/>
    <col min="5" max="5" width="8.00390625" style="140" customWidth="1"/>
    <col min="6" max="6" width="10.25390625" style="140" customWidth="1"/>
    <col min="7" max="7" width="6.375" style="140" customWidth="1"/>
    <col min="8" max="8" width="9.625" style="140" customWidth="1"/>
    <col min="9" max="9" width="6.875" style="140" customWidth="1"/>
    <col min="10" max="10" width="7.25390625" style="140" customWidth="1"/>
    <col min="11" max="11" width="5.75390625" style="140" customWidth="1"/>
    <col min="12" max="12" width="7.50390625" style="140" bestFit="1" customWidth="1"/>
    <col min="13" max="13" width="5.75390625" style="140" customWidth="1"/>
    <col min="14" max="14" width="9.25390625" style="140" customWidth="1"/>
    <col min="15" max="15" width="6.375" style="140" customWidth="1"/>
    <col min="16" max="16" width="7.125" style="140" customWidth="1"/>
    <col min="17" max="17" width="6.50390625" style="140" customWidth="1"/>
    <col min="18" max="18" width="6.75390625" style="140" customWidth="1"/>
    <col min="19" max="19" width="6.00390625" style="140" customWidth="1"/>
    <col min="20" max="20" width="7.00390625" style="140" customWidth="1"/>
    <col min="21" max="21" width="6.50390625" style="140" customWidth="1"/>
    <col min="22" max="22" width="8.875" style="140" customWidth="1"/>
    <col min="23" max="23" width="5.625" style="140" customWidth="1"/>
    <col min="24" max="24" width="7.125" style="140" customWidth="1"/>
    <col min="25" max="25" width="7.00390625" style="140" bestFit="1" customWidth="1"/>
    <col min="26" max="26" width="9.50390625" style="140" bestFit="1" customWidth="1"/>
    <col min="27" max="27" width="7.50390625" style="140" bestFit="1" customWidth="1"/>
    <col min="28" max="28" width="7.00390625" style="140" customWidth="1"/>
    <col min="29" max="29" width="7.625" style="140" bestFit="1" customWidth="1"/>
    <col min="30" max="30" width="8.75390625" style="140" customWidth="1"/>
    <col min="31" max="31" width="6.375" style="140" customWidth="1"/>
    <col min="32" max="32" width="7.125" style="140" customWidth="1"/>
    <col min="33" max="33" width="6.25390625" style="140" customWidth="1"/>
    <col min="34" max="16384" width="9.00390625" style="142" customWidth="1"/>
  </cols>
  <sheetData>
    <row r="1" spans="1:44" ht="18" customHeight="1">
      <c r="A1" s="217" t="s">
        <v>149</v>
      </c>
      <c r="B1" s="44"/>
      <c r="C1" s="44"/>
      <c r="D1" s="43"/>
      <c r="E1" s="138"/>
      <c r="F1" s="138"/>
      <c r="G1" s="138"/>
      <c r="H1" s="139"/>
      <c r="I1" s="139"/>
      <c r="N1" s="139"/>
      <c r="O1" s="139"/>
      <c r="R1" s="217" t="s">
        <v>154</v>
      </c>
      <c r="S1" s="139"/>
      <c r="AA1" s="43"/>
      <c r="AB1" s="43"/>
      <c r="AC1" s="43"/>
      <c r="AH1" s="141"/>
      <c r="AI1" s="143"/>
      <c r="AJ1" s="143"/>
      <c r="AK1" s="143"/>
      <c r="AL1" s="143"/>
      <c r="AM1" s="143"/>
      <c r="AN1" s="143"/>
      <c r="AO1" s="143"/>
      <c r="AP1" s="143"/>
      <c r="AQ1" s="143"/>
      <c r="AR1" s="143"/>
    </row>
    <row r="2" spans="1:34" ht="18" customHeight="1">
      <c r="A2" s="138"/>
      <c r="B2" s="138"/>
      <c r="C2" s="138"/>
      <c r="D2" s="138"/>
      <c r="E2" s="138"/>
      <c r="F2" s="138"/>
      <c r="G2" s="138"/>
      <c r="Q2" s="144" t="s">
        <v>114</v>
      </c>
      <c r="AC2" s="145" t="s">
        <v>115</v>
      </c>
      <c r="AD2"/>
      <c r="AF2" s="43"/>
      <c r="AG2" s="144" t="s">
        <v>114</v>
      </c>
      <c r="AH2" s="141"/>
    </row>
    <row r="3" spans="1:34" ht="15.75" customHeight="1">
      <c r="A3" s="456" t="s">
        <v>116</v>
      </c>
      <c r="B3" s="459" t="s">
        <v>117</v>
      </c>
      <c r="C3" s="406"/>
      <c r="D3" s="460" t="s">
        <v>135</v>
      </c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461"/>
      <c r="R3" s="465" t="s">
        <v>118</v>
      </c>
      <c r="S3" s="466"/>
      <c r="T3" s="466"/>
      <c r="U3" s="467"/>
      <c r="V3" s="460" t="s">
        <v>41</v>
      </c>
      <c r="W3" s="462"/>
      <c r="X3" s="462"/>
      <c r="Y3" s="462"/>
      <c r="Z3" s="462"/>
      <c r="AA3" s="463"/>
      <c r="AB3" s="460" t="s">
        <v>119</v>
      </c>
      <c r="AC3" s="464"/>
      <c r="AD3" s="464"/>
      <c r="AE3" s="464"/>
      <c r="AF3" s="464"/>
      <c r="AG3" s="461"/>
      <c r="AH3" s="141"/>
    </row>
    <row r="4" spans="1:34" ht="15.75" customHeight="1">
      <c r="A4" s="457"/>
      <c r="B4" s="407"/>
      <c r="C4" s="409"/>
      <c r="D4" s="146" t="s">
        <v>42</v>
      </c>
      <c r="E4" s="147"/>
      <c r="F4" s="146" t="s">
        <v>43</v>
      </c>
      <c r="G4" s="147"/>
      <c r="H4" s="146" t="s">
        <v>44</v>
      </c>
      <c r="I4" s="147"/>
      <c r="J4" s="146" t="s">
        <v>45</v>
      </c>
      <c r="K4" s="147"/>
      <c r="L4" s="148" t="s">
        <v>120</v>
      </c>
      <c r="M4" s="148"/>
      <c r="N4" s="460" t="s">
        <v>121</v>
      </c>
      <c r="O4" s="461"/>
      <c r="P4" s="149" t="s">
        <v>46</v>
      </c>
      <c r="Q4" s="149"/>
      <c r="R4" s="149" t="s">
        <v>49</v>
      </c>
      <c r="S4" s="149"/>
      <c r="T4" s="149" t="s">
        <v>50</v>
      </c>
      <c r="U4" s="149"/>
      <c r="V4" s="149" t="s">
        <v>42</v>
      </c>
      <c r="W4" s="149"/>
      <c r="X4" s="149" t="s">
        <v>47</v>
      </c>
      <c r="Y4" s="149"/>
      <c r="Z4" s="149" t="s">
        <v>48</v>
      </c>
      <c r="AA4" s="149"/>
      <c r="AB4" s="146" t="s">
        <v>122</v>
      </c>
      <c r="AC4" s="146"/>
      <c r="AD4" s="460" t="s">
        <v>123</v>
      </c>
      <c r="AE4" s="461"/>
      <c r="AF4" s="460" t="s">
        <v>124</v>
      </c>
      <c r="AG4" s="461"/>
      <c r="AH4" s="150"/>
    </row>
    <row r="5" spans="1:34" ht="15.75" customHeight="1">
      <c r="A5" s="458"/>
      <c r="B5" s="152" t="s">
        <v>51</v>
      </c>
      <c r="C5" s="152" t="s">
        <v>125</v>
      </c>
      <c r="D5" s="151" t="s">
        <v>51</v>
      </c>
      <c r="E5" s="152" t="s">
        <v>125</v>
      </c>
      <c r="F5" s="151" t="s">
        <v>51</v>
      </c>
      <c r="G5" s="152" t="s">
        <v>125</v>
      </c>
      <c r="H5" s="151" t="s">
        <v>51</v>
      </c>
      <c r="I5" s="152" t="s">
        <v>125</v>
      </c>
      <c r="J5" s="153" t="s">
        <v>51</v>
      </c>
      <c r="K5" s="152" t="s">
        <v>125</v>
      </c>
      <c r="L5" s="153" t="s">
        <v>51</v>
      </c>
      <c r="M5" s="152" t="s">
        <v>125</v>
      </c>
      <c r="N5" s="151" t="s">
        <v>51</v>
      </c>
      <c r="O5" s="152" t="s">
        <v>125</v>
      </c>
      <c r="P5" s="151" t="s">
        <v>51</v>
      </c>
      <c r="Q5" s="152" t="s">
        <v>125</v>
      </c>
      <c r="R5" s="151" t="s">
        <v>51</v>
      </c>
      <c r="S5" s="152" t="s">
        <v>125</v>
      </c>
      <c r="T5" s="151" t="s">
        <v>51</v>
      </c>
      <c r="U5" s="152" t="s">
        <v>125</v>
      </c>
      <c r="V5" s="151" t="s">
        <v>51</v>
      </c>
      <c r="W5" s="152" t="s">
        <v>125</v>
      </c>
      <c r="X5" s="151" t="s">
        <v>51</v>
      </c>
      <c r="Y5" s="152" t="s">
        <v>125</v>
      </c>
      <c r="Z5" s="151" t="s">
        <v>51</v>
      </c>
      <c r="AA5" s="152" t="s">
        <v>125</v>
      </c>
      <c r="AB5" s="151" t="s">
        <v>51</v>
      </c>
      <c r="AC5" s="152" t="s">
        <v>125</v>
      </c>
      <c r="AD5" s="151" t="s">
        <v>51</v>
      </c>
      <c r="AE5" s="152" t="s">
        <v>125</v>
      </c>
      <c r="AF5" s="151" t="s">
        <v>51</v>
      </c>
      <c r="AG5" s="152" t="s">
        <v>125</v>
      </c>
      <c r="AH5" s="150"/>
    </row>
    <row r="6" spans="1:34" ht="15.75" customHeight="1">
      <c r="A6" s="154" t="s">
        <v>126</v>
      </c>
      <c r="B6" s="155">
        <f aca="true" t="shared" si="0" ref="B6:C9">D6++V6+AB6</f>
        <v>10159348</v>
      </c>
      <c r="C6" s="155">
        <f t="shared" si="0"/>
        <v>173791</v>
      </c>
      <c r="D6" s="155">
        <f>F6+H6+J6+N6+P6+L6+R6+T6</f>
        <v>9581257</v>
      </c>
      <c r="E6" s="155">
        <f>G6+I6+K6+O6+Q6+M6+S6+U6</f>
        <v>163361</v>
      </c>
      <c r="F6" s="155">
        <v>3228589</v>
      </c>
      <c r="G6" s="155">
        <v>10685</v>
      </c>
      <c r="H6" s="155">
        <v>4736533</v>
      </c>
      <c r="I6" s="155">
        <v>125916</v>
      </c>
      <c r="J6" s="155">
        <v>287201</v>
      </c>
      <c r="K6" s="155">
        <v>1800</v>
      </c>
      <c r="L6" s="155">
        <v>1489</v>
      </c>
      <c r="M6" s="155">
        <v>105</v>
      </c>
      <c r="N6" s="155">
        <v>1165313</v>
      </c>
      <c r="O6" s="155">
        <v>23358</v>
      </c>
      <c r="P6" s="155">
        <v>109688</v>
      </c>
      <c r="Q6" s="155">
        <v>212</v>
      </c>
      <c r="R6" s="155">
        <v>41401</v>
      </c>
      <c r="S6" s="155">
        <v>121</v>
      </c>
      <c r="T6" s="155">
        <v>11043</v>
      </c>
      <c r="U6" s="155">
        <v>1164</v>
      </c>
      <c r="V6" s="155">
        <v>374958</v>
      </c>
      <c r="W6" s="155">
        <f>+Y6+AA6</f>
        <v>4779</v>
      </c>
      <c r="X6" s="155">
        <v>219769</v>
      </c>
      <c r="Y6" s="155">
        <v>764</v>
      </c>
      <c r="Z6" s="155">
        <v>155189</v>
      </c>
      <c r="AA6" s="155">
        <v>4015</v>
      </c>
      <c r="AB6" s="155">
        <f>AD6+AF6</f>
        <v>203133</v>
      </c>
      <c r="AC6" s="155">
        <f>AE6+AG6</f>
        <v>5651</v>
      </c>
      <c r="AD6" s="155">
        <v>114953</v>
      </c>
      <c r="AE6" s="155">
        <v>3240</v>
      </c>
      <c r="AF6" s="155">
        <v>88180</v>
      </c>
      <c r="AG6" s="155">
        <v>2411</v>
      </c>
      <c r="AH6" s="156"/>
    </row>
    <row r="7" spans="1:34" ht="15.75" customHeight="1">
      <c r="A7" s="154" t="s">
        <v>127</v>
      </c>
      <c r="B7" s="155">
        <f t="shared" si="0"/>
        <v>12378551</v>
      </c>
      <c r="C7" s="155">
        <f t="shared" si="0"/>
        <v>205090</v>
      </c>
      <c r="D7" s="155">
        <v>11751778</v>
      </c>
      <c r="E7" s="155">
        <v>195250</v>
      </c>
      <c r="F7" s="155">
        <v>3130785</v>
      </c>
      <c r="G7" s="155">
        <v>10268</v>
      </c>
      <c r="H7" s="155">
        <v>6946982</v>
      </c>
      <c r="I7" s="155">
        <v>154695</v>
      </c>
      <c r="J7" s="155">
        <v>325716</v>
      </c>
      <c r="K7" s="155">
        <v>2700</v>
      </c>
      <c r="L7" s="155">
        <v>1747</v>
      </c>
      <c r="M7" s="155">
        <v>109</v>
      </c>
      <c r="N7" s="155">
        <v>1113873</v>
      </c>
      <c r="O7" s="155">
        <v>25384</v>
      </c>
      <c r="P7" s="155">
        <v>172658</v>
      </c>
      <c r="Q7" s="155">
        <v>261</v>
      </c>
      <c r="R7" s="155">
        <v>40378</v>
      </c>
      <c r="S7" s="155">
        <v>108</v>
      </c>
      <c r="T7" s="155">
        <v>19639</v>
      </c>
      <c r="U7" s="155">
        <v>1725</v>
      </c>
      <c r="V7" s="155">
        <v>422597</v>
      </c>
      <c r="W7" s="155">
        <v>5021</v>
      </c>
      <c r="X7" s="155">
        <v>241224</v>
      </c>
      <c r="Y7" s="155">
        <v>694</v>
      </c>
      <c r="Z7" s="155">
        <v>181373</v>
      </c>
      <c r="AA7" s="155">
        <v>4327</v>
      </c>
      <c r="AB7" s="155">
        <v>204176</v>
      </c>
      <c r="AC7" s="155">
        <v>4819</v>
      </c>
      <c r="AD7" s="155">
        <v>124132</v>
      </c>
      <c r="AE7" s="155">
        <v>3103</v>
      </c>
      <c r="AF7" s="155">
        <v>80044</v>
      </c>
      <c r="AG7" s="155">
        <v>1716</v>
      </c>
      <c r="AH7" s="156"/>
    </row>
    <row r="8" spans="1:34" ht="15.75" customHeight="1">
      <c r="A8" s="154" t="s">
        <v>128</v>
      </c>
      <c r="B8" s="155">
        <f t="shared" si="0"/>
        <v>17566518</v>
      </c>
      <c r="C8" s="155">
        <f t="shared" si="0"/>
        <v>252266</v>
      </c>
      <c r="D8" s="155">
        <v>16793708</v>
      </c>
      <c r="E8" s="155">
        <v>240945</v>
      </c>
      <c r="F8" s="155">
        <v>4740852</v>
      </c>
      <c r="G8" s="155">
        <v>14445</v>
      </c>
      <c r="H8" s="155">
        <v>9854424</v>
      </c>
      <c r="I8" s="155">
        <v>190694</v>
      </c>
      <c r="J8" s="155">
        <v>480940</v>
      </c>
      <c r="K8" s="155">
        <v>4254</v>
      </c>
      <c r="L8" s="155">
        <v>2574</v>
      </c>
      <c r="M8" s="155">
        <v>121</v>
      </c>
      <c r="N8" s="155">
        <v>1420984</v>
      </c>
      <c r="O8" s="155">
        <v>28490</v>
      </c>
      <c r="P8" s="155">
        <v>209113</v>
      </c>
      <c r="Q8" s="155">
        <v>325</v>
      </c>
      <c r="R8" s="155">
        <v>53679</v>
      </c>
      <c r="S8" s="155">
        <v>146</v>
      </c>
      <c r="T8" s="155">
        <v>31142</v>
      </c>
      <c r="U8" s="155">
        <v>2470</v>
      </c>
      <c r="V8" s="155">
        <v>499095</v>
      </c>
      <c r="W8" s="155">
        <v>5553</v>
      </c>
      <c r="X8" s="155">
        <v>269994</v>
      </c>
      <c r="Y8" s="155">
        <v>715</v>
      </c>
      <c r="Z8" s="155">
        <v>229101</v>
      </c>
      <c r="AA8" s="155">
        <v>4838</v>
      </c>
      <c r="AB8" s="155">
        <v>273715</v>
      </c>
      <c r="AC8" s="155">
        <v>5768</v>
      </c>
      <c r="AD8" s="157">
        <v>167975</v>
      </c>
      <c r="AE8" s="157">
        <v>3572</v>
      </c>
      <c r="AF8" s="155">
        <v>105740</v>
      </c>
      <c r="AG8" s="155">
        <v>2196</v>
      </c>
      <c r="AH8" s="156"/>
    </row>
    <row r="9" spans="1:34" ht="15.75" customHeight="1">
      <c r="A9" s="154" t="s">
        <v>129</v>
      </c>
      <c r="B9" s="155">
        <f t="shared" si="0"/>
        <v>19582317</v>
      </c>
      <c r="C9" s="155">
        <f t="shared" si="0"/>
        <v>384023</v>
      </c>
      <c r="D9" s="155">
        <v>18741525</v>
      </c>
      <c r="E9" s="155">
        <v>372394</v>
      </c>
      <c r="F9" s="155">
        <v>4260366</v>
      </c>
      <c r="G9" s="155">
        <v>14577</v>
      </c>
      <c r="H9" s="155">
        <v>12257507</v>
      </c>
      <c r="I9" s="155">
        <v>303264</v>
      </c>
      <c r="J9" s="155">
        <v>635983</v>
      </c>
      <c r="K9" s="155">
        <v>6140</v>
      </c>
      <c r="L9" s="155">
        <v>1881</v>
      </c>
      <c r="M9" s="155">
        <v>140</v>
      </c>
      <c r="N9" s="155">
        <v>1284226</v>
      </c>
      <c r="O9" s="155">
        <v>43200</v>
      </c>
      <c r="P9" s="155">
        <v>191239</v>
      </c>
      <c r="Q9" s="155">
        <v>348</v>
      </c>
      <c r="R9" s="155">
        <v>65976</v>
      </c>
      <c r="S9" s="155">
        <v>144</v>
      </c>
      <c r="T9" s="155">
        <v>44347</v>
      </c>
      <c r="U9" s="155">
        <v>4581</v>
      </c>
      <c r="V9" s="155">
        <v>586898</v>
      </c>
      <c r="W9" s="155">
        <v>6767</v>
      </c>
      <c r="X9" s="155">
        <v>297144</v>
      </c>
      <c r="Y9" s="155">
        <v>703</v>
      </c>
      <c r="Z9" s="155">
        <v>289754</v>
      </c>
      <c r="AA9" s="155">
        <v>6064</v>
      </c>
      <c r="AB9" s="155">
        <v>253894</v>
      </c>
      <c r="AC9" s="155">
        <v>4862</v>
      </c>
      <c r="AD9" s="157">
        <v>194505</v>
      </c>
      <c r="AE9" s="157">
        <v>3578</v>
      </c>
      <c r="AF9" s="155">
        <v>59389</v>
      </c>
      <c r="AG9" s="155">
        <v>1284</v>
      </c>
      <c r="AH9" s="156"/>
    </row>
    <row r="10" spans="1:34" ht="15.75" customHeight="1">
      <c r="A10" s="154" t="s">
        <v>136</v>
      </c>
      <c r="B10" s="155">
        <v>23420408</v>
      </c>
      <c r="C10" s="155">
        <v>312412</v>
      </c>
      <c r="D10" s="155">
        <v>22468792</v>
      </c>
      <c r="E10" s="155">
        <v>301679</v>
      </c>
      <c r="F10" s="155">
        <v>3892450</v>
      </c>
      <c r="G10" s="155">
        <v>9841</v>
      </c>
      <c r="H10" s="155">
        <v>16346724</v>
      </c>
      <c r="I10" s="155">
        <v>251133</v>
      </c>
      <c r="J10" s="155">
        <v>675256</v>
      </c>
      <c r="K10" s="155">
        <v>5526</v>
      </c>
      <c r="L10" s="155">
        <v>3983</v>
      </c>
      <c r="M10" s="155">
        <v>143</v>
      </c>
      <c r="N10" s="155">
        <v>1256680</v>
      </c>
      <c r="O10" s="155">
        <v>30245</v>
      </c>
      <c r="P10" s="155">
        <v>170566</v>
      </c>
      <c r="Q10" s="155">
        <v>193</v>
      </c>
      <c r="R10" s="155">
        <v>50375</v>
      </c>
      <c r="S10" s="155">
        <v>137</v>
      </c>
      <c r="T10" s="155">
        <v>72758</v>
      </c>
      <c r="U10" s="155">
        <v>4461</v>
      </c>
      <c r="V10" s="155">
        <v>691981</v>
      </c>
      <c r="W10" s="155">
        <v>6430</v>
      </c>
      <c r="X10" s="155">
        <v>341189</v>
      </c>
      <c r="Y10" s="155">
        <v>717</v>
      </c>
      <c r="Z10" s="155">
        <v>350792</v>
      </c>
      <c r="AA10" s="155">
        <v>5713</v>
      </c>
      <c r="AB10" s="155">
        <v>259635</v>
      </c>
      <c r="AC10" s="155">
        <v>4303</v>
      </c>
      <c r="AD10" s="157">
        <v>208510</v>
      </c>
      <c r="AE10" s="157">
        <v>3402</v>
      </c>
      <c r="AF10" s="155">
        <v>51125</v>
      </c>
      <c r="AG10" s="155">
        <v>901</v>
      </c>
      <c r="AH10" s="156"/>
    </row>
    <row r="11" spans="1:34" ht="15.75" customHeight="1">
      <c r="A11" s="154" t="s">
        <v>138</v>
      </c>
      <c r="B11" s="155">
        <v>25548453</v>
      </c>
      <c r="C11" s="155">
        <v>336593</v>
      </c>
      <c r="D11" s="155">
        <v>24517574</v>
      </c>
      <c r="E11" s="155">
        <v>325942</v>
      </c>
      <c r="F11" s="155">
        <v>2903968</v>
      </c>
      <c r="G11" s="155">
        <v>6124</v>
      </c>
      <c r="H11" s="155">
        <v>19449689</v>
      </c>
      <c r="I11" s="155">
        <v>277943</v>
      </c>
      <c r="J11" s="155">
        <v>642414</v>
      </c>
      <c r="K11" s="155">
        <v>4956</v>
      </c>
      <c r="L11" s="155">
        <v>4794</v>
      </c>
      <c r="M11" s="155">
        <v>157</v>
      </c>
      <c r="N11" s="155">
        <v>1194388</v>
      </c>
      <c r="O11" s="155">
        <v>30768</v>
      </c>
      <c r="P11" s="155">
        <v>152185</v>
      </c>
      <c r="Q11" s="155">
        <v>189</v>
      </c>
      <c r="R11" s="155">
        <v>67072</v>
      </c>
      <c r="S11" s="155">
        <v>161</v>
      </c>
      <c r="T11" s="155">
        <v>103064</v>
      </c>
      <c r="U11" s="155">
        <v>5644</v>
      </c>
      <c r="V11" s="155">
        <v>762937</v>
      </c>
      <c r="W11" s="155">
        <v>6636</v>
      </c>
      <c r="X11" s="155">
        <v>348997</v>
      </c>
      <c r="Y11" s="155">
        <v>678</v>
      </c>
      <c r="Z11" s="155">
        <v>413940</v>
      </c>
      <c r="AA11" s="155">
        <v>5958</v>
      </c>
      <c r="AB11" s="155">
        <v>267942</v>
      </c>
      <c r="AC11" s="155">
        <v>4015</v>
      </c>
      <c r="AD11" s="157">
        <v>219048</v>
      </c>
      <c r="AE11" s="157">
        <v>3193</v>
      </c>
      <c r="AF11" s="155">
        <v>48894</v>
      </c>
      <c r="AG11" s="155">
        <v>822</v>
      </c>
      <c r="AH11" s="156"/>
    </row>
    <row r="12" spans="1:34" ht="15.75" customHeight="1">
      <c r="A12" s="154" t="s">
        <v>140</v>
      </c>
      <c r="B12" s="207">
        <f aca="true" t="shared" si="1" ref="B12:C14">D12++V12+AB12</f>
        <v>28329014</v>
      </c>
      <c r="C12" s="207">
        <f t="shared" si="1"/>
        <v>365709</v>
      </c>
      <c r="D12" s="207">
        <f aca="true" t="shared" si="2" ref="D12:E14">F12+H12+J12+N12+P12+L12+R12+T12</f>
        <v>27205477</v>
      </c>
      <c r="E12" s="207">
        <f t="shared" si="2"/>
        <v>354496</v>
      </c>
      <c r="F12" s="207">
        <v>2433937</v>
      </c>
      <c r="G12" s="207">
        <v>7808</v>
      </c>
      <c r="H12" s="207">
        <v>22640846</v>
      </c>
      <c r="I12" s="207">
        <v>303427</v>
      </c>
      <c r="J12" s="207">
        <v>603735</v>
      </c>
      <c r="K12" s="207">
        <v>4639</v>
      </c>
      <c r="L12" s="207">
        <v>4958</v>
      </c>
      <c r="M12" s="207">
        <v>159</v>
      </c>
      <c r="N12" s="207">
        <v>1178926</v>
      </c>
      <c r="O12" s="207">
        <v>31027</v>
      </c>
      <c r="P12" s="207">
        <v>129911</v>
      </c>
      <c r="Q12" s="207">
        <v>147</v>
      </c>
      <c r="R12" s="207">
        <v>72213</v>
      </c>
      <c r="S12" s="207">
        <v>204</v>
      </c>
      <c r="T12" s="207">
        <v>140951</v>
      </c>
      <c r="U12" s="207">
        <v>7085</v>
      </c>
      <c r="V12" s="207">
        <f aca="true" t="shared" si="3" ref="V12:W14">+X12+Z12</f>
        <v>839636</v>
      </c>
      <c r="W12" s="207">
        <f t="shared" si="3"/>
        <v>6845</v>
      </c>
      <c r="X12" s="207">
        <v>367122</v>
      </c>
      <c r="Y12" s="207">
        <v>614</v>
      </c>
      <c r="Z12" s="207">
        <v>472514</v>
      </c>
      <c r="AA12" s="207">
        <v>6231</v>
      </c>
      <c r="AB12" s="207">
        <f aca="true" t="shared" si="4" ref="AB12:AC14">AD12+AF12</f>
        <v>283901</v>
      </c>
      <c r="AC12" s="207">
        <f t="shared" si="4"/>
        <v>4368</v>
      </c>
      <c r="AD12" s="208">
        <v>240153</v>
      </c>
      <c r="AE12" s="208">
        <v>3635</v>
      </c>
      <c r="AF12" s="207">
        <v>43748</v>
      </c>
      <c r="AG12" s="207">
        <v>733</v>
      </c>
      <c r="AH12" s="156"/>
    </row>
    <row r="13" spans="1:34" ht="15.75" customHeight="1">
      <c r="A13" s="154" t="s">
        <v>144</v>
      </c>
      <c r="B13" s="207">
        <f t="shared" si="1"/>
        <v>30669240</v>
      </c>
      <c r="C13" s="207">
        <f t="shared" si="1"/>
        <v>386219</v>
      </c>
      <c r="D13" s="207">
        <f t="shared" si="2"/>
        <v>29489014</v>
      </c>
      <c r="E13" s="207">
        <f t="shared" si="2"/>
        <v>375364</v>
      </c>
      <c r="F13" s="207">
        <v>1507628</v>
      </c>
      <c r="G13" s="207">
        <v>2821</v>
      </c>
      <c r="H13" s="207">
        <v>25933272</v>
      </c>
      <c r="I13" s="207">
        <v>328267</v>
      </c>
      <c r="J13" s="207">
        <v>516323</v>
      </c>
      <c r="K13" s="207">
        <v>4174</v>
      </c>
      <c r="L13" s="207">
        <v>5692</v>
      </c>
      <c r="M13" s="207">
        <v>166</v>
      </c>
      <c r="N13" s="207">
        <v>1169795</v>
      </c>
      <c r="O13" s="207">
        <v>31046</v>
      </c>
      <c r="P13" s="207">
        <v>92023</v>
      </c>
      <c r="Q13" s="207">
        <v>91</v>
      </c>
      <c r="R13" s="207">
        <v>78415</v>
      </c>
      <c r="S13" s="207">
        <v>214</v>
      </c>
      <c r="T13" s="207">
        <v>185866</v>
      </c>
      <c r="U13" s="207">
        <v>8585</v>
      </c>
      <c r="V13" s="207">
        <f t="shared" si="3"/>
        <v>931870</v>
      </c>
      <c r="W13" s="207">
        <f t="shared" si="3"/>
        <v>7044</v>
      </c>
      <c r="X13" s="207">
        <v>393791</v>
      </c>
      <c r="Y13" s="207">
        <v>670</v>
      </c>
      <c r="Z13" s="207">
        <v>538079</v>
      </c>
      <c r="AA13" s="207">
        <v>6374</v>
      </c>
      <c r="AB13" s="207">
        <f t="shared" si="4"/>
        <v>248356</v>
      </c>
      <c r="AC13" s="207">
        <f t="shared" si="4"/>
        <v>3811</v>
      </c>
      <c r="AD13" s="208">
        <v>207285</v>
      </c>
      <c r="AE13" s="208">
        <v>3205</v>
      </c>
      <c r="AF13" s="207">
        <v>41071</v>
      </c>
      <c r="AG13" s="207">
        <v>606</v>
      </c>
      <c r="AH13" s="156"/>
    </row>
    <row r="14" spans="1:34" ht="15.75" customHeight="1">
      <c r="A14" s="154" t="s">
        <v>158</v>
      </c>
      <c r="B14" s="274">
        <f t="shared" si="1"/>
        <v>35544169</v>
      </c>
      <c r="C14" s="207">
        <f t="shared" si="1"/>
        <v>424510</v>
      </c>
      <c r="D14" s="274">
        <f t="shared" si="2"/>
        <v>34253587</v>
      </c>
      <c r="E14" s="207">
        <f t="shared" si="2"/>
        <v>410557</v>
      </c>
      <c r="F14" s="207">
        <v>1956699</v>
      </c>
      <c r="G14" s="207">
        <v>4702</v>
      </c>
      <c r="H14" s="207">
        <v>30053027</v>
      </c>
      <c r="I14" s="207">
        <v>358619</v>
      </c>
      <c r="J14" s="207">
        <v>657752</v>
      </c>
      <c r="K14" s="207">
        <v>5268</v>
      </c>
      <c r="L14" s="207">
        <v>5288</v>
      </c>
      <c r="M14" s="207">
        <v>171</v>
      </c>
      <c r="N14" s="207">
        <v>1172588</v>
      </c>
      <c r="O14" s="207">
        <v>31201</v>
      </c>
      <c r="P14" s="207">
        <v>101157</v>
      </c>
      <c r="Q14" s="207">
        <v>90</v>
      </c>
      <c r="R14" s="207">
        <v>68858</v>
      </c>
      <c r="S14" s="207">
        <v>184</v>
      </c>
      <c r="T14" s="207">
        <v>238218</v>
      </c>
      <c r="U14" s="207">
        <v>10322</v>
      </c>
      <c r="V14" s="207">
        <f t="shared" si="3"/>
        <v>990856</v>
      </c>
      <c r="W14" s="207">
        <f t="shared" si="3"/>
        <v>7135</v>
      </c>
      <c r="X14" s="207">
        <v>389507</v>
      </c>
      <c r="Y14" s="207">
        <v>645</v>
      </c>
      <c r="Z14" s="207">
        <v>601349</v>
      </c>
      <c r="AA14" s="207">
        <v>6490</v>
      </c>
      <c r="AB14" s="207">
        <f t="shared" si="4"/>
        <v>299726</v>
      </c>
      <c r="AC14" s="207">
        <f t="shared" si="4"/>
        <v>6818</v>
      </c>
      <c r="AD14" s="208">
        <v>264698</v>
      </c>
      <c r="AE14" s="208">
        <v>6197</v>
      </c>
      <c r="AF14" s="207">
        <v>35028</v>
      </c>
      <c r="AG14" s="207">
        <v>621</v>
      </c>
      <c r="AH14" s="156"/>
    </row>
    <row r="15" spans="1:34" ht="15.75" customHeight="1">
      <c r="A15" s="271" t="s">
        <v>162</v>
      </c>
      <c r="B15" s="274">
        <f>D15+V15+AB15</f>
        <v>42601731</v>
      </c>
      <c r="C15" s="207">
        <f>E15+W15+AC15</f>
        <v>470894</v>
      </c>
      <c r="D15" s="274">
        <f>F15+H15+J15+N15+P15+L15+R15+T15</f>
        <v>41104541</v>
      </c>
      <c r="E15" s="207">
        <f>G15+I15+K15+O15+Q15+M15+S15+U15</f>
        <v>454682</v>
      </c>
      <c r="F15" s="207">
        <v>3037044</v>
      </c>
      <c r="G15" s="207">
        <v>10586</v>
      </c>
      <c r="H15" s="207">
        <v>35791321</v>
      </c>
      <c r="I15" s="207">
        <v>394185</v>
      </c>
      <c r="J15" s="207">
        <v>640301</v>
      </c>
      <c r="K15" s="207">
        <v>5780</v>
      </c>
      <c r="L15" s="207">
        <v>6683</v>
      </c>
      <c r="M15" s="207">
        <v>187</v>
      </c>
      <c r="N15" s="207">
        <v>1145309</v>
      </c>
      <c r="O15" s="207">
        <v>31007</v>
      </c>
      <c r="P15" s="207">
        <v>88680</v>
      </c>
      <c r="Q15" s="207">
        <v>83</v>
      </c>
      <c r="R15" s="207">
        <v>86893</v>
      </c>
      <c r="S15" s="207">
        <v>247</v>
      </c>
      <c r="T15" s="207">
        <v>308310</v>
      </c>
      <c r="U15" s="207">
        <v>12607</v>
      </c>
      <c r="V15" s="207">
        <f>+X15+Z15</f>
        <v>1101273</v>
      </c>
      <c r="W15" s="207">
        <f>+Y15+AA15</f>
        <v>8469</v>
      </c>
      <c r="X15" s="207">
        <v>424006</v>
      </c>
      <c r="Y15" s="207">
        <v>599</v>
      </c>
      <c r="Z15" s="207">
        <v>677267</v>
      </c>
      <c r="AA15" s="207">
        <v>7870</v>
      </c>
      <c r="AB15" s="207">
        <f aca="true" t="shared" si="5" ref="AB15:AC21">AD15+AF15</f>
        <v>395917</v>
      </c>
      <c r="AC15" s="207">
        <f t="shared" si="5"/>
        <v>7743</v>
      </c>
      <c r="AD15" s="208">
        <v>355496</v>
      </c>
      <c r="AE15" s="208">
        <v>6953</v>
      </c>
      <c r="AF15" s="207">
        <v>40421</v>
      </c>
      <c r="AG15" s="207">
        <v>790</v>
      </c>
      <c r="AH15" s="156"/>
    </row>
    <row r="16" spans="1:34" ht="15.75" customHeight="1" hidden="1">
      <c r="A16" s="231" t="s">
        <v>171</v>
      </c>
      <c r="B16" s="262">
        <f aca="true" t="shared" si="6" ref="B16:B21">D16+V16+AB16</f>
        <v>39219194</v>
      </c>
      <c r="C16" s="193">
        <f aca="true" t="shared" si="7" ref="C16:C28">E16+W16+AC16</f>
        <v>448622</v>
      </c>
      <c r="D16" s="262">
        <f aca="true" t="shared" si="8" ref="D16:E28">F16+H16+J16+N16+P16+L16+R16+T16</f>
        <v>38112586</v>
      </c>
      <c r="E16" s="193">
        <f t="shared" si="8"/>
        <v>436167</v>
      </c>
      <c r="F16" s="193">
        <v>1472795</v>
      </c>
      <c r="G16" s="193">
        <v>5200</v>
      </c>
      <c r="H16" s="193">
        <v>34824485</v>
      </c>
      <c r="I16" s="193">
        <v>384034</v>
      </c>
      <c r="J16" s="193">
        <v>318287</v>
      </c>
      <c r="K16" s="193">
        <v>3236</v>
      </c>
      <c r="L16" s="193">
        <v>6614</v>
      </c>
      <c r="M16" s="193">
        <v>180</v>
      </c>
      <c r="N16" s="193">
        <v>1091485</v>
      </c>
      <c r="O16" s="193">
        <v>30867</v>
      </c>
      <c r="P16" s="193">
        <v>53250</v>
      </c>
      <c r="Q16" s="193">
        <v>53</v>
      </c>
      <c r="R16" s="193">
        <v>40363</v>
      </c>
      <c r="S16" s="193">
        <v>135</v>
      </c>
      <c r="T16" s="193">
        <v>305307</v>
      </c>
      <c r="U16" s="193">
        <v>12462</v>
      </c>
      <c r="V16" s="193">
        <f aca="true" t="shared" si="9" ref="V16:V27">+X16+Z16</f>
        <v>896676</v>
      </c>
      <c r="W16" s="193">
        <f aca="true" t="shared" si="10" ref="W16:W28">+Y16+AA16</f>
        <v>7940</v>
      </c>
      <c r="X16" s="193">
        <v>238763</v>
      </c>
      <c r="Y16" s="193">
        <v>354</v>
      </c>
      <c r="Z16" s="193">
        <v>657913</v>
      </c>
      <c r="AA16" s="193">
        <v>7586</v>
      </c>
      <c r="AB16" s="193">
        <f t="shared" si="5"/>
        <v>209932</v>
      </c>
      <c r="AC16" s="193">
        <f t="shared" si="5"/>
        <v>4515</v>
      </c>
      <c r="AD16" s="194">
        <v>185927</v>
      </c>
      <c r="AE16" s="194">
        <v>4055</v>
      </c>
      <c r="AF16" s="193">
        <v>24005</v>
      </c>
      <c r="AG16" s="193">
        <v>460</v>
      </c>
      <c r="AH16" s="156"/>
    </row>
    <row r="17" spans="1:34" ht="15.75" customHeight="1" hidden="1">
      <c r="A17" s="231" t="s">
        <v>172</v>
      </c>
      <c r="B17" s="262">
        <f t="shared" si="6"/>
        <v>40664963</v>
      </c>
      <c r="C17" s="193">
        <f t="shared" si="7"/>
        <v>457799</v>
      </c>
      <c r="D17" s="262">
        <f t="shared" si="8"/>
        <v>39462631</v>
      </c>
      <c r="E17" s="193">
        <f t="shared" si="8"/>
        <v>444256</v>
      </c>
      <c r="F17" s="193">
        <v>1841290</v>
      </c>
      <c r="G17" s="193">
        <v>6193</v>
      </c>
      <c r="H17" s="193">
        <v>35603218</v>
      </c>
      <c r="I17" s="193">
        <v>389767</v>
      </c>
      <c r="J17" s="193">
        <v>464421</v>
      </c>
      <c r="K17" s="193">
        <v>4389</v>
      </c>
      <c r="L17" s="193">
        <v>6626</v>
      </c>
      <c r="M17" s="193">
        <v>181</v>
      </c>
      <c r="N17" s="193">
        <v>1127706</v>
      </c>
      <c r="O17" s="193">
        <v>30952</v>
      </c>
      <c r="P17" s="193">
        <v>65992</v>
      </c>
      <c r="Q17" s="193">
        <v>65</v>
      </c>
      <c r="R17" s="193">
        <v>46179</v>
      </c>
      <c r="S17" s="193">
        <v>154</v>
      </c>
      <c r="T17" s="193">
        <v>307199</v>
      </c>
      <c r="U17" s="193">
        <v>12555</v>
      </c>
      <c r="V17" s="193">
        <f t="shared" si="9"/>
        <v>934343</v>
      </c>
      <c r="W17" s="193">
        <f t="shared" si="10"/>
        <v>8051</v>
      </c>
      <c r="X17" s="193">
        <v>270196</v>
      </c>
      <c r="Y17" s="193">
        <v>397</v>
      </c>
      <c r="Z17" s="193">
        <v>664147</v>
      </c>
      <c r="AA17" s="193">
        <v>7654</v>
      </c>
      <c r="AB17" s="193">
        <f t="shared" si="5"/>
        <v>267989</v>
      </c>
      <c r="AC17" s="193">
        <f t="shared" si="5"/>
        <v>5492</v>
      </c>
      <c r="AD17" s="194">
        <v>234462</v>
      </c>
      <c r="AE17" s="194">
        <v>4838</v>
      </c>
      <c r="AF17" s="193">
        <v>33527</v>
      </c>
      <c r="AG17" s="193">
        <v>654</v>
      </c>
      <c r="AH17" s="156"/>
    </row>
    <row r="18" spans="1:34" ht="15.75" customHeight="1" hidden="1">
      <c r="A18" s="231" t="s">
        <v>173</v>
      </c>
      <c r="B18" s="262">
        <f t="shared" si="6"/>
        <v>41249947</v>
      </c>
      <c r="C18" s="193">
        <f t="shared" si="7"/>
        <v>461261</v>
      </c>
      <c r="D18" s="262">
        <f t="shared" si="8"/>
        <v>39959547</v>
      </c>
      <c r="E18" s="193">
        <f t="shared" si="8"/>
        <v>446938</v>
      </c>
      <c r="F18" s="193">
        <v>2183077</v>
      </c>
      <c r="G18" s="193">
        <v>7385</v>
      </c>
      <c r="H18" s="193">
        <v>35693357</v>
      </c>
      <c r="I18" s="193">
        <v>390844</v>
      </c>
      <c r="J18" s="193">
        <v>508517</v>
      </c>
      <c r="K18" s="193">
        <v>4732</v>
      </c>
      <c r="L18" s="193">
        <v>6626</v>
      </c>
      <c r="M18" s="193">
        <v>181</v>
      </c>
      <c r="N18" s="193">
        <v>1132614</v>
      </c>
      <c r="O18" s="193">
        <v>30963</v>
      </c>
      <c r="P18" s="193">
        <v>73977</v>
      </c>
      <c r="Q18" s="193">
        <v>71</v>
      </c>
      <c r="R18" s="193">
        <v>53378</v>
      </c>
      <c r="S18" s="193">
        <v>181</v>
      </c>
      <c r="T18" s="193">
        <v>308001</v>
      </c>
      <c r="U18" s="193">
        <v>12581</v>
      </c>
      <c r="V18" s="193">
        <f t="shared" si="9"/>
        <v>984563</v>
      </c>
      <c r="W18" s="193">
        <f t="shared" si="10"/>
        <v>8175</v>
      </c>
      <c r="X18" s="193">
        <v>316107</v>
      </c>
      <c r="Y18" s="193">
        <v>459</v>
      </c>
      <c r="Z18" s="193">
        <v>668456</v>
      </c>
      <c r="AA18" s="193">
        <v>7716</v>
      </c>
      <c r="AB18" s="193">
        <f t="shared" si="5"/>
        <v>305837</v>
      </c>
      <c r="AC18" s="193">
        <f t="shared" si="5"/>
        <v>6148</v>
      </c>
      <c r="AD18" s="194">
        <v>270647</v>
      </c>
      <c r="AE18" s="194">
        <v>5470</v>
      </c>
      <c r="AF18" s="193">
        <v>35190</v>
      </c>
      <c r="AG18" s="193">
        <v>678</v>
      </c>
      <c r="AH18" s="156"/>
    </row>
    <row r="19" spans="1:34" ht="15.75" customHeight="1" hidden="1">
      <c r="A19" s="231" t="s">
        <v>175</v>
      </c>
      <c r="B19" s="262">
        <f t="shared" si="6"/>
        <v>41679085</v>
      </c>
      <c r="C19" s="193">
        <f t="shared" si="7"/>
        <v>463974</v>
      </c>
      <c r="D19" s="262">
        <f t="shared" si="8"/>
        <v>40326307</v>
      </c>
      <c r="E19" s="193">
        <f t="shared" si="8"/>
        <v>449068</v>
      </c>
      <c r="F19" s="193">
        <v>2461815</v>
      </c>
      <c r="G19" s="193">
        <v>8507</v>
      </c>
      <c r="H19" s="193">
        <v>35736006</v>
      </c>
      <c r="I19" s="193">
        <v>391551</v>
      </c>
      <c r="J19" s="193">
        <v>536244</v>
      </c>
      <c r="K19" s="193">
        <v>4987</v>
      </c>
      <c r="L19" s="193">
        <v>6626</v>
      </c>
      <c r="M19" s="193">
        <v>181</v>
      </c>
      <c r="N19" s="193">
        <v>1136510</v>
      </c>
      <c r="O19" s="193">
        <v>30975</v>
      </c>
      <c r="P19" s="193">
        <v>75279</v>
      </c>
      <c r="Q19" s="193">
        <v>72</v>
      </c>
      <c r="R19" s="193">
        <v>65717</v>
      </c>
      <c r="S19" s="193">
        <v>201</v>
      </c>
      <c r="T19" s="193">
        <v>308110</v>
      </c>
      <c r="U19" s="193">
        <v>12594</v>
      </c>
      <c r="V19" s="193">
        <f t="shared" si="9"/>
        <v>1016020</v>
      </c>
      <c r="W19" s="193">
        <f t="shared" si="10"/>
        <v>8254</v>
      </c>
      <c r="X19" s="193">
        <v>344471</v>
      </c>
      <c r="Y19" s="193">
        <v>495</v>
      </c>
      <c r="Z19" s="193">
        <v>671549</v>
      </c>
      <c r="AA19" s="193">
        <v>7759</v>
      </c>
      <c r="AB19" s="193">
        <f t="shared" si="5"/>
        <v>336758</v>
      </c>
      <c r="AC19" s="193">
        <f t="shared" si="5"/>
        <v>6652</v>
      </c>
      <c r="AD19" s="194">
        <v>301068</v>
      </c>
      <c r="AE19" s="194">
        <v>5960</v>
      </c>
      <c r="AF19" s="193">
        <v>35690</v>
      </c>
      <c r="AG19" s="193">
        <v>692</v>
      </c>
      <c r="AH19" s="156"/>
    </row>
    <row r="20" spans="1:34" ht="15.75" customHeight="1" hidden="1">
      <c r="A20" s="231" t="s">
        <v>176</v>
      </c>
      <c r="B20" s="262">
        <f t="shared" si="6"/>
        <v>42064841</v>
      </c>
      <c r="C20" s="193">
        <f t="shared" si="7"/>
        <v>466416</v>
      </c>
      <c r="D20" s="262">
        <f t="shared" si="8"/>
        <v>40637543</v>
      </c>
      <c r="E20" s="193">
        <f t="shared" si="8"/>
        <v>450880</v>
      </c>
      <c r="F20" s="193">
        <v>2694105</v>
      </c>
      <c r="G20" s="193">
        <v>9385</v>
      </c>
      <c r="H20" s="193">
        <v>35759177</v>
      </c>
      <c r="I20" s="193">
        <v>392160</v>
      </c>
      <c r="J20" s="193">
        <v>574060</v>
      </c>
      <c r="K20" s="193">
        <v>5258</v>
      </c>
      <c r="L20" s="193">
        <v>6683</v>
      </c>
      <c r="M20" s="193">
        <v>187</v>
      </c>
      <c r="N20" s="193">
        <v>1137706</v>
      </c>
      <c r="O20" s="193">
        <v>30986</v>
      </c>
      <c r="P20" s="193">
        <v>78850</v>
      </c>
      <c r="Q20" s="193">
        <v>75</v>
      </c>
      <c r="R20" s="193">
        <v>78687</v>
      </c>
      <c r="S20" s="193">
        <v>225</v>
      </c>
      <c r="T20" s="193">
        <v>308275</v>
      </c>
      <c r="U20" s="193">
        <v>12604</v>
      </c>
      <c r="V20" s="193">
        <f t="shared" si="9"/>
        <v>1058994</v>
      </c>
      <c r="W20" s="193">
        <f t="shared" si="10"/>
        <v>8351</v>
      </c>
      <c r="X20" s="193">
        <v>384256</v>
      </c>
      <c r="Y20" s="193">
        <v>544</v>
      </c>
      <c r="Z20" s="193">
        <v>674738</v>
      </c>
      <c r="AA20" s="193">
        <v>7807</v>
      </c>
      <c r="AB20" s="193">
        <f t="shared" si="5"/>
        <v>368304</v>
      </c>
      <c r="AC20" s="193">
        <f t="shared" si="5"/>
        <v>7185</v>
      </c>
      <c r="AD20" s="194">
        <v>331538</v>
      </c>
      <c r="AE20" s="194">
        <v>6477</v>
      </c>
      <c r="AF20" s="193">
        <v>36766</v>
      </c>
      <c r="AG20" s="193">
        <v>708</v>
      </c>
      <c r="AH20" s="156"/>
    </row>
    <row r="21" spans="1:34" ht="15.75" customHeight="1" hidden="1">
      <c r="A21" s="231" t="s">
        <v>178</v>
      </c>
      <c r="B21" s="262">
        <f t="shared" si="6"/>
        <v>42601731</v>
      </c>
      <c r="C21" s="193">
        <f t="shared" si="7"/>
        <v>470894</v>
      </c>
      <c r="D21" s="262">
        <f t="shared" si="8"/>
        <v>41104541</v>
      </c>
      <c r="E21" s="193">
        <f t="shared" si="8"/>
        <v>454682</v>
      </c>
      <c r="F21" s="193">
        <v>3037044</v>
      </c>
      <c r="G21" s="193">
        <v>10586</v>
      </c>
      <c r="H21" s="193">
        <v>35791321</v>
      </c>
      <c r="I21" s="193">
        <v>394185</v>
      </c>
      <c r="J21" s="193">
        <v>640301</v>
      </c>
      <c r="K21" s="193">
        <v>5780</v>
      </c>
      <c r="L21" s="193">
        <v>6683</v>
      </c>
      <c r="M21" s="193">
        <v>187</v>
      </c>
      <c r="N21" s="193">
        <v>1145309</v>
      </c>
      <c r="O21" s="193">
        <v>31007</v>
      </c>
      <c r="P21" s="193">
        <v>88680</v>
      </c>
      <c r="Q21" s="193">
        <v>83</v>
      </c>
      <c r="R21" s="193">
        <v>86893</v>
      </c>
      <c r="S21" s="193">
        <v>247</v>
      </c>
      <c r="T21" s="193">
        <v>308310</v>
      </c>
      <c r="U21" s="193">
        <v>12607</v>
      </c>
      <c r="V21" s="193">
        <f t="shared" si="9"/>
        <v>1101273</v>
      </c>
      <c r="W21" s="193">
        <f t="shared" si="10"/>
        <v>8469</v>
      </c>
      <c r="X21" s="193">
        <v>424006</v>
      </c>
      <c r="Y21" s="193">
        <v>599</v>
      </c>
      <c r="Z21" s="193">
        <v>677267</v>
      </c>
      <c r="AA21" s="193">
        <v>7870</v>
      </c>
      <c r="AB21" s="193">
        <f t="shared" si="5"/>
        <v>395917</v>
      </c>
      <c r="AC21" s="193">
        <f t="shared" si="5"/>
        <v>7743</v>
      </c>
      <c r="AD21" s="194">
        <v>355496</v>
      </c>
      <c r="AE21" s="194">
        <v>6953</v>
      </c>
      <c r="AF21" s="193">
        <v>40421</v>
      </c>
      <c r="AG21" s="193">
        <v>790</v>
      </c>
      <c r="AH21" s="156"/>
    </row>
    <row r="22" spans="1:34" ht="15.75" customHeight="1">
      <c r="A22" s="271" t="s">
        <v>181</v>
      </c>
      <c r="B22" s="274">
        <f>B34</f>
        <v>50147619.051</v>
      </c>
      <c r="C22" s="274">
        <f aca="true" t="shared" si="11" ref="C22:AG22">C34</f>
        <v>505790</v>
      </c>
      <c r="D22" s="274">
        <f t="shared" si="11"/>
        <v>48525037.051</v>
      </c>
      <c r="E22" s="274">
        <f t="shared" si="11"/>
        <v>492994</v>
      </c>
      <c r="F22" s="274">
        <f t="shared" si="11"/>
        <v>3565927</v>
      </c>
      <c r="G22" s="274">
        <f t="shared" si="11"/>
        <v>12361</v>
      </c>
      <c r="H22" s="274">
        <f t="shared" si="11"/>
        <v>42454756</v>
      </c>
      <c r="I22" s="274">
        <f t="shared" si="11"/>
        <v>429354</v>
      </c>
      <c r="J22" s="274">
        <f t="shared" si="11"/>
        <v>702375</v>
      </c>
      <c r="K22" s="274">
        <f t="shared" si="11"/>
        <v>5653</v>
      </c>
      <c r="L22" s="274">
        <f t="shared" si="11"/>
        <v>7383</v>
      </c>
      <c r="M22" s="274">
        <f t="shared" si="11"/>
        <v>202</v>
      </c>
      <c r="N22" s="274">
        <f t="shared" si="11"/>
        <v>1191439.051</v>
      </c>
      <c r="O22" s="274">
        <f t="shared" si="11"/>
        <v>30860</v>
      </c>
      <c r="P22" s="274">
        <f t="shared" si="11"/>
        <v>83811</v>
      </c>
      <c r="Q22" s="274">
        <f t="shared" si="11"/>
        <v>64</v>
      </c>
      <c r="R22" s="274">
        <f t="shared" si="11"/>
        <v>145136</v>
      </c>
      <c r="S22" s="274">
        <f t="shared" si="11"/>
        <v>329</v>
      </c>
      <c r="T22" s="274">
        <f t="shared" si="11"/>
        <v>374209</v>
      </c>
      <c r="U22" s="274">
        <f t="shared" si="11"/>
        <v>14171</v>
      </c>
      <c r="V22" s="274">
        <f t="shared" si="11"/>
        <v>1176189</v>
      </c>
      <c r="W22" s="274">
        <f t="shared" si="11"/>
        <v>7136</v>
      </c>
      <c r="X22" s="274">
        <f t="shared" si="11"/>
        <v>425000</v>
      </c>
      <c r="Y22" s="274">
        <f t="shared" si="11"/>
        <v>556</v>
      </c>
      <c r="Z22" s="274">
        <f t="shared" si="11"/>
        <v>751188</v>
      </c>
      <c r="AA22" s="274">
        <f t="shared" si="11"/>
        <v>6580</v>
      </c>
      <c r="AB22" s="274">
        <f t="shared" si="11"/>
        <v>446393</v>
      </c>
      <c r="AC22" s="274">
        <f t="shared" si="11"/>
        <v>5660</v>
      </c>
      <c r="AD22" s="274">
        <f t="shared" si="11"/>
        <v>397371</v>
      </c>
      <c r="AE22" s="274">
        <f t="shared" si="11"/>
        <v>4930</v>
      </c>
      <c r="AF22" s="274">
        <f t="shared" si="11"/>
        <v>49023</v>
      </c>
      <c r="AG22" s="274">
        <f t="shared" si="11"/>
        <v>730</v>
      </c>
      <c r="AH22" s="156"/>
    </row>
    <row r="23" spans="1:34" ht="15.75" customHeight="1" hidden="1">
      <c r="A23" s="231" t="s">
        <v>179</v>
      </c>
      <c r="B23" s="262">
        <f aca="true" t="shared" si="12" ref="B23:B28">D23+V23+AB23</f>
        <v>20938193</v>
      </c>
      <c r="C23" s="193">
        <f t="shared" si="7"/>
        <v>226963</v>
      </c>
      <c r="D23" s="262">
        <f aca="true" t="shared" si="13" ref="D23:D28">F23+H23+J23+N23+P23+L23+R23+T23</f>
        <v>20782689</v>
      </c>
      <c r="E23" s="193">
        <f t="shared" si="8"/>
        <v>225191</v>
      </c>
      <c r="F23" s="193">
        <v>287913</v>
      </c>
      <c r="G23" s="193">
        <v>1047</v>
      </c>
      <c r="H23" s="193">
        <v>19693032</v>
      </c>
      <c r="I23" s="193">
        <v>201617</v>
      </c>
      <c r="J23" s="193">
        <v>71932</v>
      </c>
      <c r="K23" s="193">
        <v>504</v>
      </c>
      <c r="L23" s="193">
        <v>3644</v>
      </c>
      <c r="M23" s="193">
        <v>94</v>
      </c>
      <c r="N23" s="193">
        <v>525321</v>
      </c>
      <c r="O23" s="193">
        <v>15271</v>
      </c>
      <c r="P23" s="193">
        <v>7251</v>
      </c>
      <c r="Q23" s="193">
        <v>4</v>
      </c>
      <c r="R23" s="193">
        <v>19102</v>
      </c>
      <c r="S23" s="193">
        <v>31</v>
      </c>
      <c r="T23" s="193">
        <v>174494</v>
      </c>
      <c r="U23" s="193">
        <v>6623</v>
      </c>
      <c r="V23" s="193">
        <f t="shared" si="9"/>
        <v>126686</v>
      </c>
      <c r="W23" s="193">
        <f t="shared" si="10"/>
        <v>1321</v>
      </c>
      <c r="X23" s="193">
        <v>35180</v>
      </c>
      <c r="Y23" s="193">
        <v>46</v>
      </c>
      <c r="Z23" s="193">
        <v>91506</v>
      </c>
      <c r="AA23" s="193">
        <v>1275</v>
      </c>
      <c r="AB23" s="193">
        <f aca="true" t="shared" si="14" ref="AB23:AC28">AD23+AF23</f>
        <v>28818</v>
      </c>
      <c r="AC23" s="193">
        <f t="shared" si="14"/>
        <v>451</v>
      </c>
      <c r="AD23" s="194">
        <v>19873</v>
      </c>
      <c r="AE23" s="194">
        <v>371</v>
      </c>
      <c r="AF23" s="193">
        <v>8945</v>
      </c>
      <c r="AG23" s="193">
        <v>80</v>
      </c>
      <c r="AH23" s="156"/>
    </row>
    <row r="24" spans="1:34" ht="15.75" customHeight="1" hidden="1">
      <c r="A24" s="231" t="s">
        <v>183</v>
      </c>
      <c r="B24" s="262">
        <f t="shared" si="12"/>
        <v>21665570</v>
      </c>
      <c r="C24" s="193">
        <f t="shared" si="7"/>
        <v>231377</v>
      </c>
      <c r="D24" s="262">
        <f t="shared" si="13"/>
        <v>21448361</v>
      </c>
      <c r="E24" s="193">
        <f t="shared" si="8"/>
        <v>229056</v>
      </c>
      <c r="F24" s="193">
        <v>487037</v>
      </c>
      <c r="G24" s="193">
        <v>1581</v>
      </c>
      <c r="H24" s="193">
        <v>20017931</v>
      </c>
      <c r="I24" s="193">
        <v>204021</v>
      </c>
      <c r="J24" s="193">
        <v>173085</v>
      </c>
      <c r="K24" s="193">
        <v>1236</v>
      </c>
      <c r="L24" s="193">
        <v>3644</v>
      </c>
      <c r="M24" s="193">
        <v>94</v>
      </c>
      <c r="N24" s="193">
        <v>549182</v>
      </c>
      <c r="O24" s="193">
        <v>15343</v>
      </c>
      <c r="P24" s="193">
        <v>9007</v>
      </c>
      <c r="Q24" s="193">
        <v>5</v>
      </c>
      <c r="R24" s="193">
        <v>31724</v>
      </c>
      <c r="S24" s="193">
        <v>53</v>
      </c>
      <c r="T24" s="193">
        <v>176751</v>
      </c>
      <c r="U24" s="193">
        <v>6723</v>
      </c>
      <c r="V24" s="193">
        <f t="shared" si="9"/>
        <v>159533</v>
      </c>
      <c r="W24" s="193">
        <f t="shared" si="10"/>
        <v>1404</v>
      </c>
      <c r="X24" s="193">
        <v>63752</v>
      </c>
      <c r="Y24" s="193">
        <v>86</v>
      </c>
      <c r="Z24" s="193">
        <v>95781</v>
      </c>
      <c r="AA24" s="193">
        <v>1318</v>
      </c>
      <c r="AB24" s="193">
        <f t="shared" si="14"/>
        <v>57676</v>
      </c>
      <c r="AC24" s="193">
        <f t="shared" si="14"/>
        <v>917</v>
      </c>
      <c r="AD24" s="194">
        <v>45755</v>
      </c>
      <c r="AE24" s="194">
        <v>781</v>
      </c>
      <c r="AF24" s="193">
        <v>11921</v>
      </c>
      <c r="AG24" s="193">
        <v>136</v>
      </c>
      <c r="AH24" s="156"/>
    </row>
    <row r="25" spans="1:34" ht="15.75" customHeight="1" hidden="1">
      <c r="A25" s="231" t="s">
        <v>186</v>
      </c>
      <c r="B25" s="262">
        <f t="shared" si="12"/>
        <v>22297650</v>
      </c>
      <c r="C25" s="193">
        <f t="shared" si="7"/>
        <v>236028</v>
      </c>
      <c r="D25" s="262">
        <f t="shared" si="13"/>
        <v>21987920</v>
      </c>
      <c r="E25" s="193">
        <f t="shared" si="8"/>
        <v>232980</v>
      </c>
      <c r="F25" s="193">
        <v>741717</v>
      </c>
      <c r="G25" s="193">
        <v>2554</v>
      </c>
      <c r="H25" s="193">
        <v>20228967</v>
      </c>
      <c r="I25" s="193">
        <v>206333</v>
      </c>
      <c r="J25" s="193">
        <v>220171</v>
      </c>
      <c r="K25" s="193">
        <v>1747</v>
      </c>
      <c r="L25" s="193">
        <v>3644</v>
      </c>
      <c r="M25" s="193">
        <v>94</v>
      </c>
      <c r="N25" s="193">
        <v>564349</v>
      </c>
      <c r="O25" s="193">
        <v>15384</v>
      </c>
      <c r="P25" s="193">
        <v>12278</v>
      </c>
      <c r="Q25" s="193">
        <v>8</v>
      </c>
      <c r="R25" s="193">
        <v>39180</v>
      </c>
      <c r="S25" s="193">
        <v>82</v>
      </c>
      <c r="T25" s="193">
        <v>177614</v>
      </c>
      <c r="U25" s="193">
        <v>6778</v>
      </c>
      <c r="V25" s="193">
        <f t="shared" si="9"/>
        <v>213721</v>
      </c>
      <c r="W25" s="193">
        <f t="shared" si="10"/>
        <v>1537</v>
      </c>
      <c r="X25" s="193">
        <v>109979</v>
      </c>
      <c r="Y25" s="193">
        <v>144</v>
      </c>
      <c r="Z25" s="193">
        <v>103742</v>
      </c>
      <c r="AA25" s="193">
        <v>1393</v>
      </c>
      <c r="AB25" s="193">
        <f t="shared" si="14"/>
        <v>96009</v>
      </c>
      <c r="AC25" s="193">
        <f t="shared" si="14"/>
        <v>1511</v>
      </c>
      <c r="AD25" s="194">
        <v>79142</v>
      </c>
      <c r="AE25" s="194">
        <v>1287</v>
      </c>
      <c r="AF25" s="193">
        <v>16867</v>
      </c>
      <c r="AG25" s="193">
        <v>224</v>
      </c>
      <c r="AH25" s="156"/>
    </row>
    <row r="26" spans="1:34" ht="15.75" customHeight="1" hidden="1">
      <c r="A26" s="231" t="s">
        <v>187</v>
      </c>
      <c r="B26" s="262">
        <f t="shared" si="12"/>
        <v>22637425</v>
      </c>
      <c r="C26" s="193">
        <f t="shared" si="7"/>
        <v>238434</v>
      </c>
      <c r="D26" s="262">
        <f t="shared" si="13"/>
        <v>22257143</v>
      </c>
      <c r="E26" s="193">
        <f t="shared" si="8"/>
        <v>234836</v>
      </c>
      <c r="F26" s="193">
        <v>920831</v>
      </c>
      <c r="G26" s="193">
        <v>3129</v>
      </c>
      <c r="H26" s="193">
        <v>20281876</v>
      </c>
      <c r="I26" s="193">
        <v>207335</v>
      </c>
      <c r="J26" s="193">
        <v>244382</v>
      </c>
      <c r="K26" s="193">
        <v>1969</v>
      </c>
      <c r="L26" s="193">
        <v>3644</v>
      </c>
      <c r="M26" s="193">
        <v>94</v>
      </c>
      <c r="N26" s="193">
        <v>569300</v>
      </c>
      <c r="O26" s="193">
        <v>15396</v>
      </c>
      <c r="P26" s="193">
        <v>15868</v>
      </c>
      <c r="Q26" s="193">
        <v>15</v>
      </c>
      <c r="R26" s="193">
        <v>43397</v>
      </c>
      <c r="S26" s="193">
        <v>103</v>
      </c>
      <c r="T26" s="193">
        <v>177845</v>
      </c>
      <c r="U26" s="193">
        <v>6795</v>
      </c>
      <c r="V26" s="193">
        <f t="shared" si="9"/>
        <v>256382</v>
      </c>
      <c r="W26" s="193">
        <f t="shared" si="10"/>
        <v>1640</v>
      </c>
      <c r="X26" s="193">
        <v>146094</v>
      </c>
      <c r="Y26" s="193">
        <v>192</v>
      </c>
      <c r="Z26" s="193">
        <v>110288</v>
      </c>
      <c r="AA26" s="193">
        <v>1448</v>
      </c>
      <c r="AB26" s="193">
        <f t="shared" si="14"/>
        <v>123900</v>
      </c>
      <c r="AC26" s="193">
        <f t="shared" si="14"/>
        <v>1958</v>
      </c>
      <c r="AD26" s="194">
        <v>106079</v>
      </c>
      <c r="AE26" s="194">
        <v>1710</v>
      </c>
      <c r="AF26" s="193">
        <v>17821</v>
      </c>
      <c r="AG26" s="193">
        <v>248</v>
      </c>
      <c r="AH26" s="156"/>
    </row>
    <row r="27" spans="1:34" ht="15.75" customHeight="1" hidden="1">
      <c r="A27" s="231" t="s">
        <v>188</v>
      </c>
      <c r="B27" s="262">
        <f t="shared" si="12"/>
        <v>22962541</v>
      </c>
      <c r="C27" s="193">
        <f t="shared" si="7"/>
        <v>240391</v>
      </c>
      <c r="D27" s="262">
        <f t="shared" si="13"/>
        <v>22506535</v>
      </c>
      <c r="E27" s="193">
        <f t="shared" si="8"/>
        <v>236263</v>
      </c>
      <c r="F27" s="193">
        <v>1124006</v>
      </c>
      <c r="G27" s="193">
        <v>3928</v>
      </c>
      <c r="H27" s="193">
        <v>20296019</v>
      </c>
      <c r="I27" s="193">
        <v>207811</v>
      </c>
      <c r="J27" s="193">
        <v>255044</v>
      </c>
      <c r="K27" s="193">
        <v>2067</v>
      </c>
      <c r="L27" s="193">
        <v>3649</v>
      </c>
      <c r="M27" s="193">
        <v>95</v>
      </c>
      <c r="N27" s="193">
        <v>570689</v>
      </c>
      <c r="O27" s="193">
        <v>15402</v>
      </c>
      <c r="P27" s="193">
        <v>23474</v>
      </c>
      <c r="Q27" s="193">
        <v>22</v>
      </c>
      <c r="R27" s="193">
        <v>55652</v>
      </c>
      <c r="S27" s="193">
        <v>134</v>
      </c>
      <c r="T27" s="193">
        <v>178002</v>
      </c>
      <c r="U27" s="193">
        <v>6804</v>
      </c>
      <c r="V27" s="193">
        <f t="shared" si="9"/>
        <v>295572</v>
      </c>
      <c r="W27" s="193">
        <f t="shared" si="10"/>
        <v>1721</v>
      </c>
      <c r="X27" s="193">
        <v>179956</v>
      </c>
      <c r="Y27" s="193">
        <v>233</v>
      </c>
      <c r="Z27" s="193">
        <v>115616</v>
      </c>
      <c r="AA27" s="193">
        <v>1488</v>
      </c>
      <c r="AB27" s="193">
        <f t="shared" si="14"/>
        <v>160434</v>
      </c>
      <c r="AC27" s="193">
        <f t="shared" si="14"/>
        <v>2407</v>
      </c>
      <c r="AD27" s="194">
        <v>142401</v>
      </c>
      <c r="AE27" s="194">
        <v>2155</v>
      </c>
      <c r="AF27" s="193">
        <v>18033</v>
      </c>
      <c r="AG27" s="193">
        <v>252</v>
      </c>
      <c r="AH27" s="156"/>
    </row>
    <row r="28" spans="1:34" ht="15.75" customHeight="1" hidden="1">
      <c r="A28" s="231" t="s">
        <v>189</v>
      </c>
      <c r="B28" s="262">
        <f t="shared" si="12"/>
        <v>23364736</v>
      </c>
      <c r="C28" s="193">
        <f t="shared" si="7"/>
        <v>243733</v>
      </c>
      <c r="D28" s="262">
        <f t="shared" si="13"/>
        <v>22840636</v>
      </c>
      <c r="E28" s="193">
        <f t="shared" si="8"/>
        <v>239073</v>
      </c>
      <c r="F28" s="193">
        <f>'附表5-1政'!F28+'附表5-3-教'!F28+'附表5-2公'!F28+'附表5-4-軍'!F28</f>
        <v>1368393</v>
      </c>
      <c r="G28" s="193">
        <f>'附表5-1政'!G28+'附表5-3-教'!G28+'附表5-2公'!G28+'附表5-4-軍'!G28</f>
        <v>4819</v>
      </c>
      <c r="H28" s="193">
        <f>'附表5-1政'!H28+'附表5-3-教'!H28+'附表5-2公'!H28+'附表5-4-軍'!H28</f>
        <v>20327955</v>
      </c>
      <c r="I28" s="193">
        <f>'附表5-1政'!I28+'附表5-3-教'!I28+'附表5-2公'!I28+'附表5-4-軍'!I28</f>
        <v>209378</v>
      </c>
      <c r="J28" s="193">
        <f>'附表5-1政'!J28+'附表5-3-教'!J28+'附表5-2公'!J28+'附表5-4-軍'!J28</f>
        <v>281660</v>
      </c>
      <c r="K28" s="193">
        <f>'附表5-1政'!K28+'附表5-3-教'!K28+'附表5-2公'!K28+'附表5-4-軍'!K28</f>
        <v>2350</v>
      </c>
      <c r="L28" s="193">
        <f>'附表5-1政'!L28+'附表5-3-教'!L28+'附表5-2公'!L28+'附表5-4-軍'!L28</f>
        <v>3649</v>
      </c>
      <c r="M28" s="193">
        <f>'附表5-1政'!M28+'附表5-3-教'!M28+'附表5-2公'!M28+'附表5-4-軍'!M28</f>
        <v>95</v>
      </c>
      <c r="N28" s="193">
        <f>'附表5-1政'!N28+'附表5-3-教'!N28+'附表5-2公'!N28+'附表5-4-軍'!N28</f>
        <v>579063</v>
      </c>
      <c r="O28" s="193">
        <f>'附表5-1政'!O28+'附表5-3-教'!O28+'附表5-2公'!O28+'附表5-4-軍'!O28</f>
        <v>15431</v>
      </c>
      <c r="P28" s="193">
        <f>'附表5-1政'!P28+'附表5-3-教'!P28+'附表5-2公'!P28+'附表5-4-軍'!P28</f>
        <v>32663</v>
      </c>
      <c r="Q28" s="193">
        <f>'附表5-1政'!Q28+'附表5-3-教'!Q28+'附表5-2公'!Q28+'附表5-4-軍'!Q28</f>
        <v>28</v>
      </c>
      <c r="R28" s="193">
        <f>'附表5-1政'!R28+'附表5-3-教'!R28+'附表5-2公'!R28+'附表5-4-軍'!R28</f>
        <v>69130</v>
      </c>
      <c r="S28" s="193">
        <f>'附表5-1政'!S28+'附表5-3-教'!S28+'附表5-2公'!S28+'附表5-4-軍'!S28</f>
        <v>156</v>
      </c>
      <c r="T28" s="193">
        <f>'附表5-1政'!T28+'附表5-3-教'!T28+'附表5-2公'!T28+'附表5-4-軍'!T28</f>
        <v>178123</v>
      </c>
      <c r="U28" s="193">
        <f>'附表5-1政'!U28+'附表5-3-教'!U28+'附表5-2公'!U28+'附表5-4-軍'!U28</f>
        <v>6816</v>
      </c>
      <c r="V28" s="193">
        <f aca="true" t="shared" si="15" ref="V28:V33">+X28+Z28</f>
        <v>332633</v>
      </c>
      <c r="W28" s="193">
        <f t="shared" si="10"/>
        <v>1810</v>
      </c>
      <c r="X28" s="193">
        <f>'附表5-1政'!X28+'附表5-3-教'!X28+'附表5-2公'!X28+'附表5-4-軍'!X28</f>
        <v>211807</v>
      </c>
      <c r="Y28" s="193">
        <f>'附表5-1政'!Y28+'附表5-3-教'!Y28+'附表5-2公'!Y28+'附表5-4-軍'!Y28</f>
        <v>276</v>
      </c>
      <c r="Z28" s="193">
        <f>'附表5-1政'!Z28+'附表5-3-教'!Z28+'附表5-2公'!Z28+'附表5-4-軍'!Z28</f>
        <v>120826</v>
      </c>
      <c r="AA28" s="193">
        <f>'附表5-1政'!AA28+'附表5-3-教'!AA28+'附表5-2公'!AA28+'附表5-4-軍'!AA28</f>
        <v>1534</v>
      </c>
      <c r="AB28" s="193">
        <f t="shared" si="14"/>
        <v>191467</v>
      </c>
      <c r="AC28" s="193">
        <f t="shared" si="14"/>
        <v>2850</v>
      </c>
      <c r="AD28" s="193">
        <f>'附表5-1政'!AD28+'附表5-3-教'!AD28+'附表5-2公'!AD28+'附表5-4-軍'!AD28</f>
        <v>169415</v>
      </c>
      <c r="AE28" s="193">
        <f>'附表5-1政'!AE28+'附表5-3-教'!AE28+'附表5-2公'!AE28+'附表5-4-軍'!AE28</f>
        <v>2542</v>
      </c>
      <c r="AF28" s="193">
        <f>'附表5-1政'!AF28+'附表5-3-教'!AF28+'附表5-2公'!AF28+'附表5-4-軍'!AF28</f>
        <v>22052</v>
      </c>
      <c r="AG28" s="193">
        <f>'附表5-1政'!AG28+'附表5-3-教'!AG28+'附表5-2公'!AG28+'附表5-4-軍'!AG28</f>
        <v>308</v>
      </c>
      <c r="AH28" s="156"/>
    </row>
    <row r="29" spans="1:34" ht="15.75" customHeight="1" hidden="1">
      <c r="A29" s="231" t="s">
        <v>192</v>
      </c>
      <c r="B29" s="262">
        <f aca="true" t="shared" si="16" ref="B29:C36">D29+V29+AB29</f>
        <v>46361013</v>
      </c>
      <c r="C29" s="193">
        <f t="shared" si="16"/>
        <v>483708</v>
      </c>
      <c r="D29" s="262">
        <f aca="true" t="shared" si="17" ref="D29:E36">F29+H29+J29+N29+P29+L29+R29+T29</f>
        <v>45150255</v>
      </c>
      <c r="E29" s="193">
        <f t="shared" si="17"/>
        <v>473726</v>
      </c>
      <c r="F29" s="193">
        <f>'附表5-1政'!F29+'附表5-3-教'!F29+'附表5-2公'!F29+'附表5-4-軍'!F29</f>
        <v>1703983</v>
      </c>
      <c r="G29" s="193">
        <f>'附表5-1政'!G29+'附表5-3-教'!G29+'附表5-2公'!G29+'附表5-4-軍'!G29</f>
        <v>5846</v>
      </c>
      <c r="H29" s="193">
        <f>'附表5-1政'!H29+'附表5-3-教'!H29+'附表5-2公'!H29+'附表5-4-軍'!H29</f>
        <v>41463741</v>
      </c>
      <c r="I29" s="193">
        <f>'附表5-1政'!I29+'附表5-3-教'!I29+'附表5-2公'!I29+'附表5-4-軍'!I29</f>
        <v>419752</v>
      </c>
      <c r="J29" s="193">
        <f>'附表5-1政'!J29+'附表5-3-教'!J29+'附表5-2公'!J29+'附表5-4-軍'!J29</f>
        <v>364504</v>
      </c>
      <c r="K29" s="193">
        <f>'附表5-1政'!K29+'附表5-3-教'!K29+'附表5-2公'!K29+'附表5-4-軍'!K29</f>
        <v>3027</v>
      </c>
      <c r="L29" s="193">
        <f>'附表5-1政'!L29+'附表5-3-教'!L29+'附表5-2公'!L29+'附表5-4-軍'!L29</f>
        <v>7308</v>
      </c>
      <c r="M29" s="193">
        <f>'附表5-1政'!M29+'附表5-3-教'!M29+'附表5-2公'!M29+'附表5-4-軍'!M29</f>
        <v>195</v>
      </c>
      <c r="N29" s="193">
        <f>'附表5-1政'!N29+'附表5-3-教'!N29+'附表5-2公'!N29+'附表5-4-軍'!N29</f>
        <v>1119955</v>
      </c>
      <c r="O29" s="193">
        <f>'附表5-1政'!O29+'附表5-3-教'!O29+'附表5-2公'!O29+'附表5-4-軍'!O29</f>
        <v>30707</v>
      </c>
      <c r="P29" s="193">
        <f>'附表5-1政'!P29+'附表5-3-教'!P29+'附表5-2公'!P29+'附表5-4-軍'!P29</f>
        <v>37970</v>
      </c>
      <c r="Q29" s="193">
        <f>'附表5-1政'!Q29+'附表5-3-教'!Q29+'附表5-2公'!Q29+'附表5-4-軍'!Q29</f>
        <v>32</v>
      </c>
      <c r="R29" s="193">
        <f>'附表5-1政'!R29+'附表5-3-教'!R29+'附表5-2公'!R29+'附表5-4-軍'!R29</f>
        <v>82067</v>
      </c>
      <c r="S29" s="193">
        <f>'附表5-1政'!S29+'附表5-3-教'!S29+'附表5-2公'!S29+'附表5-4-軍'!S29</f>
        <v>185</v>
      </c>
      <c r="T29" s="193">
        <f>'附表5-1政'!T29+'附表5-3-教'!T29+'附表5-2公'!T29+'附表5-4-軍'!T29</f>
        <v>370727</v>
      </c>
      <c r="U29" s="193">
        <f>'附表5-1政'!U29+'附表5-3-教'!U29+'附表5-2公'!U29+'附表5-4-軍'!U29</f>
        <v>13982</v>
      </c>
      <c r="V29" s="193">
        <f t="shared" si="15"/>
        <v>979000</v>
      </c>
      <c r="W29" s="193">
        <f aca="true" t="shared" si="18" ref="W29:W34">+Y29+AA29</f>
        <v>6642</v>
      </c>
      <c r="X29" s="193">
        <f>'附表5-1政'!X29+'附表5-3-教'!X29+'附表5-2公'!X29+'附表5-4-軍'!X29</f>
        <v>245539</v>
      </c>
      <c r="Y29" s="193">
        <f>'附表5-1政'!Y29+'附表5-3-教'!Y29+'附表5-2公'!Y29+'附表5-4-軍'!Y29</f>
        <v>323</v>
      </c>
      <c r="Z29" s="193">
        <f>'附表5-1政'!Z29+'附表5-3-教'!Z29+'附表5-2公'!Z29+'附表5-4-軍'!Z29</f>
        <v>733461</v>
      </c>
      <c r="AA29" s="193">
        <f>'附表5-1政'!AA29+'附表5-3-教'!AA29+'附表5-2公'!AA29+'附表5-4-軍'!AA29</f>
        <v>6319</v>
      </c>
      <c r="AB29" s="193">
        <f aca="true" t="shared" si="19" ref="AB29:AC34">AD29+AF29</f>
        <v>231758</v>
      </c>
      <c r="AC29" s="193">
        <f t="shared" si="19"/>
        <v>3340</v>
      </c>
      <c r="AD29" s="193">
        <f>'附表5-1政'!AD29+'附表5-3-教'!AD29+'附表5-2公'!AD29+'附表5-4-軍'!AD29</f>
        <v>199677</v>
      </c>
      <c r="AE29" s="193">
        <f>'附表5-1政'!AE29+'附表5-3-教'!AE29+'附表5-2公'!AE29+'附表5-4-軍'!AE29</f>
        <v>2892</v>
      </c>
      <c r="AF29" s="193">
        <f>'附表5-1政'!AF29+'附表5-3-教'!AF29+'附表5-2公'!AF29+'附表5-4-軍'!AF29</f>
        <v>32081</v>
      </c>
      <c r="AG29" s="193">
        <f>'附表5-1政'!AG29+'附表5-3-教'!AG29+'附表5-2公'!AG29+'附表5-4-軍'!AG29</f>
        <v>448</v>
      </c>
      <c r="AH29" s="156"/>
    </row>
    <row r="30" spans="1:34" ht="15.75" customHeight="1" hidden="1">
      <c r="A30" s="231" t="s">
        <v>197</v>
      </c>
      <c r="B30" s="262">
        <f t="shared" si="16"/>
        <v>47962417</v>
      </c>
      <c r="C30" s="193">
        <f t="shared" si="16"/>
        <v>492697</v>
      </c>
      <c r="D30" s="262">
        <f t="shared" si="17"/>
        <v>46640002</v>
      </c>
      <c r="E30" s="193">
        <f t="shared" si="17"/>
        <v>481913</v>
      </c>
      <c r="F30" s="193">
        <f>'附表5-1政'!F30+'附表5-3-教'!F30+'附表5-2公'!F30+'附表5-4-軍'!F30</f>
        <v>2139726</v>
      </c>
      <c r="G30" s="193">
        <f>'附表5-1政'!G30+'附表5-3-教'!G30+'附表5-2公'!G30+'附表5-4-軍'!G30</f>
        <v>7044</v>
      </c>
      <c r="H30" s="193">
        <f>'附表5-1政'!H30+'附表5-3-教'!H30+'附表5-2公'!H30+'附表5-4-軍'!H30</f>
        <v>42279293</v>
      </c>
      <c r="I30" s="193">
        <f>'附表5-1政'!I30+'附表5-3-教'!I30+'附表5-2公'!I30+'附表5-4-軍'!I30</f>
        <v>425276</v>
      </c>
      <c r="J30" s="193">
        <f>'附表5-1政'!J30+'附表5-3-教'!J30+'附表5-2公'!J30+'附表5-4-軍'!J30</f>
        <v>510458</v>
      </c>
      <c r="K30" s="193">
        <f>'附表5-1政'!K30+'附表5-3-教'!K30+'附表5-2公'!K30+'附表5-4-軍'!K30</f>
        <v>4253</v>
      </c>
      <c r="L30" s="193">
        <f>'附表5-1政'!L30+'附表5-3-教'!L30+'附表5-2公'!L30+'附表5-4-軍'!L30</f>
        <v>7343</v>
      </c>
      <c r="M30" s="193">
        <f>'附表5-1政'!M30+'附表5-3-教'!M30+'附表5-2公'!M30+'附表5-4-軍'!M30</f>
        <v>198</v>
      </c>
      <c r="N30" s="193">
        <f>'附表5-1政'!N30+'附表5-3-教'!N30+'附表5-2公'!N30+'附表5-4-軍'!N30</f>
        <v>1174102</v>
      </c>
      <c r="O30" s="193">
        <f>'附表5-1政'!O30+'附表5-3-教'!O30+'附表5-2公'!O30+'附表5-4-軍'!O30</f>
        <v>30813</v>
      </c>
      <c r="P30" s="193">
        <f>'附表5-1政'!P30+'附表5-3-教'!P30+'附表5-2公'!P30+'附表5-4-軍'!P30</f>
        <v>56968</v>
      </c>
      <c r="Q30" s="193">
        <f>'附表5-1政'!Q30+'附表5-3-教'!Q30+'附表5-2公'!Q30+'附表5-4-軍'!Q30</f>
        <v>44</v>
      </c>
      <c r="R30" s="193">
        <f>'附表5-1政'!R30+'附表5-3-教'!R30+'附表5-2公'!R30+'附表5-4-軍'!R30</f>
        <v>99271</v>
      </c>
      <c r="S30" s="193">
        <f>'附表5-1政'!S30+'附表5-3-教'!S30+'附表5-2公'!S30+'附表5-4-軍'!S30</f>
        <v>215</v>
      </c>
      <c r="T30" s="193">
        <f>'附表5-1政'!T30+'附表5-3-教'!T30+'附表5-2公'!T30+'附表5-4-軍'!T30</f>
        <v>372841</v>
      </c>
      <c r="U30" s="193">
        <f>'附表5-1政'!U30+'附表5-3-教'!U30+'附表5-2公'!U30+'附表5-4-軍'!U30</f>
        <v>14070</v>
      </c>
      <c r="V30" s="193">
        <f t="shared" si="15"/>
        <v>1030219</v>
      </c>
      <c r="W30" s="193">
        <f t="shared" si="18"/>
        <v>6758</v>
      </c>
      <c r="X30" s="193">
        <f>'附表5-1政'!X30+'附表5-3-教'!X30+'附表5-2公'!X30+'附表5-4-軍'!X30</f>
        <v>291032</v>
      </c>
      <c r="Y30" s="193">
        <f>'附表5-1政'!Y30+'附表5-3-教'!Y30+'附表5-2公'!Y30+'附表5-4-軍'!Y30</f>
        <v>379</v>
      </c>
      <c r="Z30" s="193">
        <f>'附表5-1政'!Z30+'附表5-3-教'!Z30+'附表5-2公'!Z30+'附表5-4-軍'!Z30</f>
        <v>739187</v>
      </c>
      <c r="AA30" s="193">
        <f>'附表5-1政'!AA30+'附表5-3-教'!AA30+'附表5-2公'!AA30+'附表5-4-軍'!AA30</f>
        <v>6379</v>
      </c>
      <c r="AB30" s="193">
        <f t="shared" si="19"/>
        <v>292196</v>
      </c>
      <c r="AC30" s="193">
        <f t="shared" si="19"/>
        <v>4026</v>
      </c>
      <c r="AD30" s="193">
        <f>'附表5-1政'!AD30+'附表5-3-教'!AD30+'附表5-2公'!AD30+'附表5-4-軍'!AD30</f>
        <v>250247</v>
      </c>
      <c r="AE30" s="193">
        <f>'附表5-1政'!AE30+'附表5-3-教'!AE30+'附表5-2公'!AE30+'附表5-4-軍'!AE30</f>
        <v>3400</v>
      </c>
      <c r="AF30" s="193">
        <f>'附表5-1政'!AF30+'附表5-3-教'!AF30+'附表5-2公'!AF30+'附表5-4-軍'!AF30</f>
        <v>41949</v>
      </c>
      <c r="AG30" s="193">
        <f>'附表5-1政'!AG30+'附表5-3-教'!AG30+'附表5-2公'!AG30+'附表5-4-軍'!AG30</f>
        <v>626</v>
      </c>
      <c r="AH30" s="156"/>
    </row>
    <row r="31" spans="1:34" s="141" customFormat="1" ht="15.75" customHeight="1" hidden="1">
      <c r="A31" s="231" t="s">
        <v>199</v>
      </c>
      <c r="B31" s="262">
        <f t="shared" si="16"/>
        <v>48611724</v>
      </c>
      <c r="C31" s="193">
        <f t="shared" si="16"/>
        <v>496034</v>
      </c>
      <c r="D31" s="327">
        <f>F31+H31+J31+N31+P31+L31+R31+T31+1</f>
        <v>47224886</v>
      </c>
      <c r="E31" s="193">
        <f t="shared" si="17"/>
        <v>484739</v>
      </c>
      <c r="F31" s="193">
        <f>'附表5-1政'!F31+'附表5-3-教'!F31+'附表5-2公'!F31+'附表5-4-軍'!F31</f>
        <v>2585422</v>
      </c>
      <c r="G31" s="193">
        <f>'附表5-1政'!G31+'附表5-3-教'!G31+'附表5-2公'!G31+'附表5-4-軍'!G31</f>
        <v>8589</v>
      </c>
      <c r="H31" s="193">
        <f>'附表5-1政'!H31+'附表5-3-教'!H31+'附表5-2公'!H31+'附表5-4-軍'!H31</f>
        <v>42358854</v>
      </c>
      <c r="I31" s="193">
        <f>'附表5-1政'!I31+'附表5-3-教'!I31+'附表5-2公'!I31+'附表5-4-軍'!I31</f>
        <v>426158</v>
      </c>
      <c r="J31" s="193">
        <f>'附表5-1政'!J31+'附表5-3-教'!J31+'附表5-2公'!J31+'附表5-4-軍'!J31</f>
        <v>546323</v>
      </c>
      <c r="K31" s="193">
        <f>'附表5-1政'!K31+'附表5-3-教'!K31+'附表5-2公'!K31+'附表5-4-軍'!K31</f>
        <v>4560</v>
      </c>
      <c r="L31" s="193">
        <f>'附表5-1政'!L31+'附表5-3-教'!L31+'附表5-2公'!L31+'附表5-4-軍'!L31</f>
        <v>7351</v>
      </c>
      <c r="M31" s="193">
        <f>'附表5-1政'!M31+'附表5-3-教'!M31+'附表5-2公'!M31+'附表5-4-軍'!M31</f>
        <v>199</v>
      </c>
      <c r="N31" s="193">
        <f>'附表5-1政'!N31+'附表5-3-教'!N31+'附表5-2公'!N31+'附表5-4-軍'!N31</f>
        <v>1178056</v>
      </c>
      <c r="O31" s="193">
        <f>'附表5-1政'!O31+'附表5-3-教'!O31+'附表5-2公'!O31+'附表5-4-軍'!O31</f>
        <v>30827</v>
      </c>
      <c r="P31" s="193">
        <f>'附表5-1政'!P31+'附表5-3-教'!P31+'附表5-2公'!P31+'附表5-4-軍'!P31</f>
        <v>63124</v>
      </c>
      <c r="Q31" s="193">
        <f>'附表5-1政'!Q31+'附表5-3-教'!Q31+'附表5-2公'!Q31+'附表5-4-軍'!Q31</f>
        <v>51</v>
      </c>
      <c r="R31" s="193">
        <f>'附表5-1政'!R31+'附表5-3-教'!R31+'附表5-2公'!R31+'附表5-4-軍'!R31</f>
        <v>112309</v>
      </c>
      <c r="S31" s="193">
        <f>'附表5-1政'!S31+'附表5-3-教'!S31+'附表5-2公'!S31+'附表5-4-軍'!S31</f>
        <v>245</v>
      </c>
      <c r="T31" s="193">
        <f>'附表5-1政'!T31+'附表5-3-教'!T31+'附表5-2公'!T31+'附表5-4-軍'!T31</f>
        <v>373446</v>
      </c>
      <c r="U31" s="193">
        <f>'附表5-1政'!U31+'附表5-3-教'!U31+'附表5-2公'!U31+'附表5-4-軍'!U31</f>
        <v>14110</v>
      </c>
      <c r="V31" s="193">
        <f t="shared" si="15"/>
        <v>1052003</v>
      </c>
      <c r="W31" s="193">
        <f t="shared" si="18"/>
        <v>6835</v>
      </c>
      <c r="X31" s="193">
        <f>'附表5-1政'!X31+'附表5-3-教'!X31+'附表5-2公'!X31+'附表5-4-軍'!X31</f>
        <v>309758</v>
      </c>
      <c r="Y31" s="193">
        <f>'附表5-1政'!Y31+'附表5-3-教'!Y31+'附表5-2公'!Y31+'附表5-4-軍'!Y31</f>
        <v>410</v>
      </c>
      <c r="Z31" s="193">
        <f>'附表5-1政'!Z31+'附表5-3-教'!Z31+'附表5-2公'!Z31+'附表5-4-軍'!Z31</f>
        <v>742245</v>
      </c>
      <c r="AA31" s="193">
        <f>'附表5-1政'!AA31+'附表5-3-教'!AA31+'附表5-2公'!AA31+'附表5-4-軍'!AA31</f>
        <v>6425</v>
      </c>
      <c r="AB31" s="193">
        <f t="shared" si="19"/>
        <v>334835</v>
      </c>
      <c r="AC31" s="193">
        <f t="shared" si="19"/>
        <v>4460</v>
      </c>
      <c r="AD31" s="193">
        <f>'附表5-1政'!AD31+'附表5-3-教'!AD31+'附表5-2公'!AD31+'附表5-4-軍'!AD31</f>
        <v>290624</v>
      </c>
      <c r="AE31" s="193">
        <f>'附表5-1政'!AE31+'附表5-3-教'!AE31+'附表5-2公'!AE31+'附表5-4-軍'!AE31</f>
        <v>3808</v>
      </c>
      <c r="AF31" s="193">
        <f>'附表5-1政'!AF31+'附表5-3-教'!AF31+'附表5-2公'!AF31+'附表5-4-軍'!AF31</f>
        <v>44211</v>
      </c>
      <c r="AG31" s="193">
        <f>'附表5-1政'!AG31+'附表5-3-教'!AG31+'附表5-2公'!AG31+'附表5-4-軍'!AG31</f>
        <v>652</v>
      </c>
      <c r="AH31" s="156"/>
    </row>
    <row r="32" spans="1:34" s="141" customFormat="1" ht="15.75" customHeight="1" hidden="1">
      <c r="A32" s="231" t="s">
        <v>201</v>
      </c>
      <c r="B32" s="262">
        <f t="shared" si="16"/>
        <v>49078765</v>
      </c>
      <c r="C32" s="193">
        <f t="shared" si="16"/>
        <v>498746</v>
      </c>
      <c r="D32" s="327">
        <f>F32+H32+J32+N32+P32+L32+R32+T32</f>
        <v>47614400</v>
      </c>
      <c r="E32" s="193">
        <f t="shared" si="17"/>
        <v>486953</v>
      </c>
      <c r="F32" s="193">
        <f>'附表5-1政'!F32+'附表5-3-教'!F32+'附表5-2公'!F32+'附表5-4-軍'!F32</f>
        <v>2895905</v>
      </c>
      <c r="G32" s="193">
        <f>'附表5-1政'!G32+'附表5-3-教'!G32+'附表5-2公'!G32+'附表5-4-軍'!G32</f>
        <v>9912</v>
      </c>
      <c r="H32" s="193">
        <f>'附表5-1政'!H32+'附表5-3-教'!H32+'附表5-2公'!H32+'附表5-4-軍'!H32</f>
        <v>42398928</v>
      </c>
      <c r="I32" s="193">
        <f>'附表5-1政'!I32+'附表5-3-教'!I32+'附表5-2公'!I32+'附表5-4-軍'!I32</f>
        <v>426782</v>
      </c>
      <c r="J32" s="193">
        <f>'附表5-1政'!J32+'附表5-3-教'!J32+'附表5-2公'!J32+'附表5-4-軍'!J32</f>
        <v>566585</v>
      </c>
      <c r="K32" s="193">
        <f>'附表5-1政'!K32+'附表5-3-教'!K32+'附表5-2公'!K32+'附表5-4-軍'!K32</f>
        <v>4761</v>
      </c>
      <c r="L32" s="193">
        <f>'附表5-1政'!L32+'附表5-3-教'!L32+'附表5-2公'!L32+'附表5-4-軍'!L32</f>
        <v>7351</v>
      </c>
      <c r="M32" s="193">
        <f>'附表5-1政'!M32+'附表5-3-教'!M32+'附表5-2公'!M32+'附表5-4-軍'!M32</f>
        <v>199</v>
      </c>
      <c r="N32" s="193">
        <f>'附表5-1政'!N32+'附表5-3-教'!N32+'附表5-2公'!N32+'附表5-4-軍'!N32</f>
        <v>1177709</v>
      </c>
      <c r="O32" s="193">
        <f>'附表5-1政'!O32+'附表5-3-教'!O32+'附表5-2公'!O32+'附表5-4-軍'!O32</f>
        <v>30832</v>
      </c>
      <c r="P32" s="193">
        <f>'附表5-1政'!P32+'附表5-3-教'!P32+'附表5-2公'!P32+'附表5-4-軍'!P32</f>
        <v>67796</v>
      </c>
      <c r="Q32" s="193">
        <f>'附表5-1政'!Q32+'附表5-3-教'!Q32+'附表5-2公'!Q32+'附表5-4-軍'!Q32</f>
        <v>54</v>
      </c>
      <c r="R32" s="193">
        <f>'附表5-1政'!R32+'附表5-3-教'!R32+'附表5-2公'!R32+'附表5-4-軍'!R32</f>
        <v>126083</v>
      </c>
      <c r="S32" s="193">
        <f>'附表5-1政'!S32+'附表5-3-教'!S32+'附表5-2公'!S32+'附表5-4-軍'!S32</f>
        <v>279</v>
      </c>
      <c r="T32" s="193">
        <f>'附表5-1政'!T32+'附表5-3-教'!T32+'附表5-2公'!T32+'附表5-4-軍'!T32</f>
        <v>374043</v>
      </c>
      <c r="U32" s="193">
        <f>'附表5-1政'!U32+'附表5-3-教'!U32+'附表5-2公'!U32+'附表5-4-軍'!U32</f>
        <v>14134</v>
      </c>
      <c r="V32" s="193">
        <f t="shared" si="15"/>
        <v>1093846</v>
      </c>
      <c r="W32" s="193">
        <f t="shared" si="18"/>
        <v>6937</v>
      </c>
      <c r="X32" s="193">
        <f>'附表5-1政'!X32+'附表5-3-教'!X32+'附表5-2公'!X32+'附表5-4-軍'!X32</f>
        <v>347697</v>
      </c>
      <c r="Y32" s="193">
        <f>'附表5-1政'!Y32+'附表5-3-教'!Y32+'附表5-2公'!Y32+'附表5-4-軍'!Y32</f>
        <v>458</v>
      </c>
      <c r="Z32" s="193">
        <f>'附表5-1政'!Z32+'附表5-3-教'!Z32+'附表5-2公'!Z32+'附表5-4-軍'!Z32</f>
        <v>746149</v>
      </c>
      <c r="AA32" s="193">
        <f>'附表5-1政'!AA32+'附表5-3-教'!AA32+'附表5-2公'!AA32+'附表5-4-軍'!AA32</f>
        <v>6479</v>
      </c>
      <c r="AB32" s="193">
        <f t="shared" si="19"/>
        <v>370519</v>
      </c>
      <c r="AC32" s="193">
        <f t="shared" si="19"/>
        <v>4856</v>
      </c>
      <c r="AD32" s="193">
        <f>'附表5-1政'!AD32+'附表5-3-教'!AD32+'附表5-2公'!AD32+'附表5-4-軍'!AD32</f>
        <v>324472</v>
      </c>
      <c r="AE32" s="193">
        <f>'附表5-1政'!AE32+'附表5-3-教'!AE32+'附表5-2公'!AE32+'附表5-4-軍'!AE32</f>
        <v>4174</v>
      </c>
      <c r="AF32" s="193">
        <f>'附表5-1政'!AF32+'附表5-3-教'!AF32+'附表5-2公'!AF32+'附表5-4-軍'!AF32</f>
        <v>46047</v>
      </c>
      <c r="AG32" s="193">
        <f>'附表5-1政'!AG32+'附表5-3-教'!AG32+'附表5-2公'!AG32+'附表5-4-軍'!AG32</f>
        <v>682</v>
      </c>
      <c r="AH32" s="156"/>
    </row>
    <row r="33" spans="1:34" s="141" customFormat="1" ht="15.75" customHeight="1" hidden="1">
      <c r="A33" s="231" t="s">
        <v>203</v>
      </c>
      <c r="B33" s="262">
        <f t="shared" si="16"/>
        <v>49578414.051</v>
      </c>
      <c r="C33" s="193">
        <f t="shared" si="16"/>
        <v>501387</v>
      </c>
      <c r="D33" s="327">
        <f>F33+H33+J33+N33+P33+L33+R33+T33+1</f>
        <v>48027495.051</v>
      </c>
      <c r="E33" s="193">
        <f t="shared" si="17"/>
        <v>489087</v>
      </c>
      <c r="F33" s="193">
        <f>'附表5-1政'!F33+'附表5-3-教'!F33+'附表5-2公'!F33+'附表5-4-軍'!F33</f>
        <v>3193673</v>
      </c>
      <c r="G33" s="193">
        <f>'附表5-1政'!G33+'附表5-3-教'!G33+'附表5-2公'!G33+'附表5-4-軍'!G33</f>
        <v>10929</v>
      </c>
      <c r="H33" s="193">
        <f>'附表5-1政'!H33+'附表5-3-教'!H33+'附表5-2公'!H33+'附表5-4-軍'!H33</f>
        <v>42425330</v>
      </c>
      <c r="I33" s="193">
        <f>'附表5-1政'!I33+'附表5-3-教'!I33+'附表5-2公'!I33+'附表5-4-軍'!I33</f>
        <v>427447</v>
      </c>
      <c r="J33" s="193">
        <f>'附表5-1政'!J33+'附表5-3-教'!J33+'附表5-2公'!J33+'附表5-4-軍'!J33</f>
        <v>632147</v>
      </c>
      <c r="K33" s="193">
        <f>'附表5-1政'!K33+'附表5-3-教'!K33+'附表5-2公'!K33+'附表5-4-軍'!K33</f>
        <v>5155</v>
      </c>
      <c r="L33" s="193">
        <f>'附表5-1政'!L33+'附表5-3-教'!L33+'附表5-2公'!L33+'附表5-4-軍'!L33</f>
        <v>7351</v>
      </c>
      <c r="M33" s="193">
        <f>'附表5-1政'!M33+'附表5-3-教'!M33+'附表5-2公'!M33+'附表5-4-軍'!M33</f>
        <v>199</v>
      </c>
      <c r="N33" s="193">
        <f>'附表5-1政'!N33+'附表5-3-教'!N33+'附表5-2公'!N33+'附表5-4-軍'!N33</f>
        <v>1181352.051</v>
      </c>
      <c r="O33" s="193">
        <f>'附表5-1政'!O33+'附表5-3-教'!O33+'附表5-2公'!O33+'附表5-4-軍'!O33</f>
        <v>30840</v>
      </c>
      <c r="P33" s="193">
        <f>'附表5-1政'!P33+'附表5-3-教'!P33+'附表5-2公'!P33+'附表5-4-軍'!P33</f>
        <v>77371</v>
      </c>
      <c r="Q33" s="193">
        <f>'附表5-1政'!Q33+'附表5-3-教'!Q33+'附表5-2公'!Q33+'附表5-4-軍'!Q33</f>
        <v>60</v>
      </c>
      <c r="R33" s="193">
        <f>'附表5-1政'!R33+'附表5-3-教'!R33+'附表5-2公'!R33+'附表5-4-軍'!R33</f>
        <v>136006</v>
      </c>
      <c r="S33" s="193">
        <f>'附表5-1政'!S33+'附表5-3-教'!S33+'附表5-2公'!S33+'附表5-4-軍'!S33</f>
        <v>306</v>
      </c>
      <c r="T33" s="193">
        <f>'附表5-1政'!T33+'附表5-3-教'!T33+'附表5-2公'!T33+'附表5-4-軍'!T33</f>
        <v>374264</v>
      </c>
      <c r="U33" s="193">
        <f>'附表5-1政'!U33+'附表5-3-教'!U33+'附表5-2公'!U33+'附表5-4-軍'!U33</f>
        <v>14151</v>
      </c>
      <c r="V33" s="193">
        <f t="shared" si="15"/>
        <v>1142887</v>
      </c>
      <c r="W33" s="193">
        <f t="shared" si="18"/>
        <v>7051</v>
      </c>
      <c r="X33" s="193">
        <f>'附表5-1政'!X33+'附表5-3-教'!X33+'附表5-2公'!X33+'附表5-4-軍'!X33</f>
        <v>393544</v>
      </c>
      <c r="Y33" s="193">
        <f>'附表5-1政'!Y33+'附表5-3-教'!Y33+'附表5-2公'!Y33+'附表5-4-軍'!Y33</f>
        <v>515</v>
      </c>
      <c r="Z33" s="193">
        <f>'附表5-1政'!Z33+'附表5-3-教'!Z33+'附表5-2公'!Z33+'附表5-4-軍'!Z33</f>
        <v>749343</v>
      </c>
      <c r="AA33" s="193">
        <f>'附表5-1政'!AA33+'附表5-3-教'!AA33+'附表5-2公'!AA33+'附表5-4-軍'!AA33</f>
        <v>6536</v>
      </c>
      <c r="AB33" s="193">
        <f>AD33+AF33+1</f>
        <v>408032</v>
      </c>
      <c r="AC33" s="193">
        <f t="shared" si="19"/>
        <v>5249</v>
      </c>
      <c r="AD33" s="193">
        <f>'附表5-1政'!AD33+'附表5-3-教'!AD33+'附表5-2公'!AD33+'附表5-4-軍'!AD33</f>
        <v>361252</v>
      </c>
      <c r="AE33" s="193">
        <f>'附表5-1政'!AE33+'附表5-3-教'!AE33+'附表5-2公'!AE33+'附表5-4-軍'!AE33</f>
        <v>4557</v>
      </c>
      <c r="AF33" s="193">
        <f>'附表5-1政'!AF33+'附表5-3-教'!AF33+'附表5-2公'!AF33+'附表5-4-軍'!AF33</f>
        <v>46779</v>
      </c>
      <c r="AG33" s="193">
        <f>'附表5-1政'!AG33+'附表5-3-教'!AG33+'附表5-2公'!AG33+'附表5-4-軍'!AG33</f>
        <v>692</v>
      </c>
      <c r="AH33" s="156"/>
    </row>
    <row r="34" spans="1:34" s="141" customFormat="1" ht="15.75" customHeight="1" hidden="1">
      <c r="A34" s="231" t="s">
        <v>204</v>
      </c>
      <c r="B34" s="262">
        <f t="shared" si="16"/>
        <v>50147619.051</v>
      </c>
      <c r="C34" s="193">
        <f t="shared" si="16"/>
        <v>505790</v>
      </c>
      <c r="D34" s="327">
        <f>F34+H34+J34+N34+P34+L34+R34+T34+1</f>
        <v>48525037.051</v>
      </c>
      <c r="E34" s="193">
        <f t="shared" si="17"/>
        <v>492994</v>
      </c>
      <c r="F34" s="193">
        <f>'附表5-1政'!F34+'附表5-3-教'!F34+'附表5-2公'!F34+'附表5-4-軍'!F34</f>
        <v>3565927</v>
      </c>
      <c r="G34" s="193">
        <f>'附表5-1政'!G34+'附表5-3-教'!G34+'附表5-2公'!G34+'附表5-4-軍'!G34</f>
        <v>12361</v>
      </c>
      <c r="H34" s="193">
        <f>'附表5-1政'!H34+'附表5-3-教'!H34+'附表5-2公'!H34+'附表5-4-軍'!H34</f>
        <v>42454756</v>
      </c>
      <c r="I34" s="193">
        <f>'附表5-1政'!I34+'附表5-3-教'!I34+'附表5-2公'!I34+'附表5-4-軍'!I34</f>
        <v>429354</v>
      </c>
      <c r="J34" s="193">
        <f>'附表5-1政'!J34+'附表5-3-教'!J34+'附表5-2公'!J34+'附表5-4-軍'!J34</f>
        <v>702375</v>
      </c>
      <c r="K34" s="193">
        <f>'附表5-1政'!K34+'附表5-3-教'!K34+'附表5-2公'!K34+'附表5-4-軍'!K34</f>
        <v>5653</v>
      </c>
      <c r="L34" s="193">
        <f>'附表5-1政'!L34+'附表5-3-教'!L34+'附表5-2公'!L34+'附表5-4-軍'!L34</f>
        <v>7383</v>
      </c>
      <c r="M34" s="193">
        <f>'附表5-1政'!M34+'附表5-3-教'!M34+'附表5-2公'!M34+'附表5-4-軍'!M34</f>
        <v>202</v>
      </c>
      <c r="N34" s="193">
        <f>'附表5-1政'!N34+'附表5-3-教'!N34+'附表5-2公'!N34+'附表5-4-軍'!N34</f>
        <v>1191439.051</v>
      </c>
      <c r="O34" s="193">
        <f>'附表5-1政'!O34+'附表5-3-教'!O34+'附表5-2公'!O34+'附表5-4-軍'!O34</f>
        <v>30860</v>
      </c>
      <c r="P34" s="193">
        <f>'附表5-1政'!P34+'附表5-3-教'!P34+'附表5-2公'!P34+'附表5-4-軍'!P34</f>
        <v>83811</v>
      </c>
      <c r="Q34" s="193">
        <f>'附表5-1政'!Q34+'附表5-3-教'!Q34+'附表5-2公'!Q34+'附表5-4-軍'!Q34</f>
        <v>64</v>
      </c>
      <c r="R34" s="193">
        <f>'附表5-1政'!R34+'附表5-3-教'!R34+'附表5-2公'!R34+'附表5-4-軍'!R34</f>
        <v>145136</v>
      </c>
      <c r="S34" s="193">
        <f>'附表5-1政'!S34+'附表5-3-教'!S34+'附表5-2公'!S34+'附表5-4-軍'!S34</f>
        <v>329</v>
      </c>
      <c r="T34" s="193">
        <f>'附表5-1政'!T34+'附表5-3-教'!T34+'附表5-2公'!T34+'附表5-4-軍'!T34</f>
        <v>374209</v>
      </c>
      <c r="U34" s="193">
        <f>'附表5-1政'!U34+'附表5-3-教'!U34+'附表5-2公'!U34+'附表5-4-軍'!U34</f>
        <v>14171</v>
      </c>
      <c r="V34" s="193">
        <f>+X34+Z34+1</f>
        <v>1176189</v>
      </c>
      <c r="W34" s="193">
        <f t="shared" si="18"/>
        <v>7136</v>
      </c>
      <c r="X34" s="193">
        <f>'附表5-1政'!X34+'附表5-3-教'!X34+'附表5-2公'!X34+'附表5-4-軍'!X34</f>
        <v>425000</v>
      </c>
      <c r="Y34" s="193">
        <f>'附表5-1政'!Y34+'附表5-3-教'!Y34+'附表5-2公'!Y34+'附表5-4-軍'!Y34</f>
        <v>556</v>
      </c>
      <c r="Z34" s="193">
        <f>'附表5-1政'!Z34+'附表5-3-教'!Z34+'附表5-2公'!Z34+'附表5-4-軍'!Z34</f>
        <v>751188</v>
      </c>
      <c r="AA34" s="193">
        <f>'附表5-1政'!AA34+'附表5-3-教'!AA34+'附表5-2公'!AA34+'附表5-4-軍'!AA34</f>
        <v>6580</v>
      </c>
      <c r="AB34" s="193">
        <f>AD34+AF34-1</f>
        <v>446393</v>
      </c>
      <c r="AC34" s="193">
        <f t="shared" si="19"/>
        <v>5660</v>
      </c>
      <c r="AD34" s="193">
        <f>'附表5-1政'!AD34+'附表5-3-教'!AD34+'附表5-2公'!AD34+'附表5-4-軍'!AD34</f>
        <v>397371</v>
      </c>
      <c r="AE34" s="193">
        <f>'附表5-1政'!AE34+'附表5-3-教'!AE34+'附表5-2公'!AE34+'附表5-4-軍'!AE34</f>
        <v>4930</v>
      </c>
      <c r="AF34" s="193">
        <f>'附表5-1政'!AF34+'附表5-3-教'!AF34+'附表5-2公'!AF34+'附表5-4-軍'!AF34</f>
        <v>49023</v>
      </c>
      <c r="AG34" s="193">
        <f>'附表5-1政'!AG34+'附表5-3-教'!AG34+'附表5-2公'!AG34+'附表5-4-軍'!AG34</f>
        <v>730</v>
      </c>
      <c r="AH34" s="156"/>
    </row>
    <row r="35" spans="1:34" s="141" customFormat="1" ht="15.75" customHeight="1">
      <c r="A35" s="271" t="s">
        <v>206</v>
      </c>
      <c r="B35" s="274">
        <f>B47</f>
        <v>57728247</v>
      </c>
      <c r="C35" s="274">
        <f aca="true" t="shared" si="20" ref="C35:AG35">C47</f>
        <v>545284</v>
      </c>
      <c r="D35" s="274">
        <f t="shared" si="20"/>
        <v>56007307</v>
      </c>
      <c r="E35" s="274">
        <f t="shared" si="20"/>
        <v>532960</v>
      </c>
      <c r="F35" s="274">
        <f t="shared" si="20"/>
        <v>4546881</v>
      </c>
      <c r="G35" s="274">
        <f t="shared" si="20"/>
        <v>14313</v>
      </c>
      <c r="H35" s="274">
        <f t="shared" si="20"/>
        <v>48797875</v>
      </c>
      <c r="I35" s="274">
        <f t="shared" si="20"/>
        <v>464847</v>
      </c>
      <c r="J35" s="274">
        <f t="shared" si="20"/>
        <v>794432</v>
      </c>
      <c r="K35" s="274">
        <f t="shared" si="20"/>
        <v>6184</v>
      </c>
      <c r="L35" s="274">
        <f t="shared" si="20"/>
        <v>7727</v>
      </c>
      <c r="M35" s="274">
        <f t="shared" si="20"/>
        <v>204</v>
      </c>
      <c r="N35" s="274">
        <f t="shared" si="20"/>
        <v>1189360</v>
      </c>
      <c r="O35" s="274">
        <f t="shared" si="20"/>
        <v>30643</v>
      </c>
      <c r="P35" s="274">
        <f t="shared" si="20"/>
        <v>93491</v>
      </c>
      <c r="Q35" s="274">
        <f t="shared" si="20"/>
        <v>71</v>
      </c>
      <c r="R35" s="274">
        <f t="shared" si="20"/>
        <v>128328</v>
      </c>
      <c r="S35" s="274">
        <f t="shared" si="20"/>
        <v>367</v>
      </c>
      <c r="T35" s="274">
        <f t="shared" si="20"/>
        <v>449213</v>
      </c>
      <c r="U35" s="274">
        <f t="shared" si="20"/>
        <v>16331</v>
      </c>
      <c r="V35" s="274">
        <f t="shared" si="20"/>
        <v>1268661</v>
      </c>
      <c r="W35" s="274">
        <f t="shared" si="20"/>
        <v>7108</v>
      </c>
      <c r="X35" s="274">
        <f t="shared" si="20"/>
        <v>460756</v>
      </c>
      <c r="Y35" s="274">
        <f t="shared" si="20"/>
        <v>585</v>
      </c>
      <c r="Z35" s="274">
        <f t="shared" si="20"/>
        <v>807905</v>
      </c>
      <c r="AA35" s="274">
        <f t="shared" si="20"/>
        <v>6523</v>
      </c>
      <c r="AB35" s="274">
        <f t="shared" si="20"/>
        <v>452279</v>
      </c>
      <c r="AC35" s="274">
        <f t="shared" si="20"/>
        <v>5216</v>
      </c>
      <c r="AD35" s="274">
        <f t="shared" si="20"/>
        <v>399565</v>
      </c>
      <c r="AE35" s="274">
        <f t="shared" si="20"/>
        <v>4481</v>
      </c>
      <c r="AF35" s="274">
        <f t="shared" si="20"/>
        <v>52714</v>
      </c>
      <c r="AG35" s="274">
        <f t="shared" si="20"/>
        <v>735</v>
      </c>
      <c r="AH35" s="156"/>
    </row>
    <row r="36" spans="1:34" s="141" customFormat="1" ht="15.75" customHeight="1" hidden="1">
      <c r="A36" s="231" t="s">
        <v>205</v>
      </c>
      <c r="B36" s="262">
        <f t="shared" si="16"/>
        <v>24324768</v>
      </c>
      <c r="C36" s="193">
        <f t="shared" si="16"/>
        <v>247020</v>
      </c>
      <c r="D36" s="327">
        <f>F36+H36+J36+N36+P36+L36+R36+T36</f>
        <v>24140452</v>
      </c>
      <c r="E36" s="193">
        <f t="shared" si="17"/>
        <v>245187</v>
      </c>
      <c r="F36" s="193">
        <f>'附表5-1政'!F36+'附表5-3-教'!F36+'附表5-2公'!F36+'附表5-4-軍'!F36</f>
        <v>379733</v>
      </c>
      <c r="G36" s="193">
        <f>'附表5-1政'!G36+'附表5-3-教'!G36+'附表5-2公'!G36+'附表5-4-軍'!G36</f>
        <v>1306</v>
      </c>
      <c r="H36" s="193">
        <f>'附表5-1政'!H36+'附表5-3-教'!H36+'附表5-2公'!H36+'附表5-4-軍'!H36</f>
        <v>22884891</v>
      </c>
      <c r="I36" s="193">
        <f>'附表5-1政'!I36+'附表5-3-教'!I36+'附表5-2公'!I36+'附表5-4-軍'!I36</f>
        <v>220147</v>
      </c>
      <c r="J36" s="193">
        <f>'附表5-1政'!J36+'附表5-3-教'!J36+'附表5-2公'!J36+'附表5-4-軍'!J36</f>
        <v>97078</v>
      </c>
      <c r="K36" s="193">
        <f>'附表5-1政'!K36+'附表5-3-教'!K36+'附表5-2公'!K36+'附表5-4-軍'!K36</f>
        <v>647</v>
      </c>
      <c r="L36" s="193">
        <f>'附表5-1政'!L36+'附表5-3-教'!L36+'附表5-2公'!L36+'附表5-4-軍'!L36</f>
        <v>3712</v>
      </c>
      <c r="M36" s="193">
        <f>'附表5-1政'!M36+'附表5-3-教'!M36+'附表5-2公'!M36+'附表5-4-軍'!M36</f>
        <v>98</v>
      </c>
      <c r="N36" s="193">
        <f>'附表5-1政'!N36+'附表5-3-教'!N36+'附表5-2公'!N36+'附表5-4-軍'!N36</f>
        <v>532997</v>
      </c>
      <c r="O36" s="193">
        <f>'附表5-1政'!O36+'附表5-3-教'!O36+'附表5-2公'!O36+'附表5-4-軍'!O36</f>
        <v>15215</v>
      </c>
      <c r="P36" s="193">
        <f>'附表5-1政'!P36+'附表5-3-教'!P36+'附表5-2公'!P36+'附表5-4-軍'!P36</f>
        <v>12967</v>
      </c>
      <c r="Q36" s="193">
        <f>'附表5-1政'!Q36+'附表5-3-教'!Q36+'附表5-2公'!Q36+'附表5-4-軍'!Q36</f>
        <v>9</v>
      </c>
      <c r="R36" s="193">
        <f>'附表5-1政'!R36+'附表5-3-教'!R36+'附表5-2公'!R36+'附表5-4-軍'!R36</f>
        <v>17553</v>
      </c>
      <c r="S36" s="193">
        <f>'附表5-1政'!S36+'附表5-3-教'!S36+'附表5-2公'!S36+'附表5-4-軍'!S36</f>
        <v>47</v>
      </c>
      <c r="T36" s="193">
        <f>'附表5-1政'!T36+'附表5-3-教'!T36+'附表5-2公'!T36+'附表5-4-軍'!T36</f>
        <v>211521</v>
      </c>
      <c r="U36" s="193">
        <f>'附表5-1政'!U36+'附表5-3-教'!U36+'附表5-2公'!U36+'附表5-4-軍'!U36</f>
        <v>7718</v>
      </c>
      <c r="V36" s="193">
        <f>+X36+Z36+1</f>
        <v>147302</v>
      </c>
      <c r="W36" s="193">
        <f aca="true" t="shared" si="21" ref="W36:W41">+Y36+AA36</f>
        <v>1403</v>
      </c>
      <c r="X36" s="193">
        <f>'附表5-1政'!X36+'附表5-3-教'!X36+'附表5-2公'!X36+'附表5-4-軍'!X36</f>
        <v>47382</v>
      </c>
      <c r="Y36" s="193">
        <f>'附表5-1政'!Y36+'附表5-3-教'!Y36+'附表5-2公'!Y36+'附表5-4-軍'!Y36</f>
        <v>63</v>
      </c>
      <c r="Z36" s="193">
        <f>'附表5-1政'!Z36+'附表5-3-教'!Z36+'附表5-2公'!Z36+'附表5-4-軍'!Z36</f>
        <v>99919</v>
      </c>
      <c r="AA36" s="193">
        <f>'附表5-1政'!AA36+'附表5-3-教'!AA36+'附表5-2公'!AA36+'附表5-4-軍'!AA36</f>
        <v>1340</v>
      </c>
      <c r="AB36" s="193">
        <f aca="true" t="shared" si="22" ref="AB36:AC38">AD36+AF36</f>
        <v>37014</v>
      </c>
      <c r="AC36" s="193">
        <f t="shared" si="22"/>
        <v>430</v>
      </c>
      <c r="AD36" s="193">
        <f>'附表5-1政'!AD36+'附表5-3-教'!AD36+'附表5-2公'!AD36+'附表5-4-軍'!AD36</f>
        <v>27011</v>
      </c>
      <c r="AE36" s="193">
        <f>'附表5-1政'!AE36+'附表5-3-教'!AE36+'附表5-2公'!AE36+'附表5-4-軍'!AE36</f>
        <v>324</v>
      </c>
      <c r="AF36" s="193">
        <f>'附表5-1政'!AF36+'附表5-3-教'!AF36+'附表5-2公'!AF36+'附表5-4-軍'!AF36</f>
        <v>10003</v>
      </c>
      <c r="AG36" s="193">
        <f>'附表5-1政'!AG36+'附表5-3-教'!AG36+'附表5-2公'!AG36+'附表5-4-軍'!AG36</f>
        <v>106</v>
      </c>
      <c r="AH36" s="156"/>
    </row>
    <row r="37" spans="1:34" s="141" customFormat="1" ht="15.75" customHeight="1" hidden="1">
      <c r="A37" s="231" t="s">
        <v>208</v>
      </c>
      <c r="B37" s="262">
        <f aca="true" t="shared" si="23" ref="B37:C42">D37+V37+AB37</f>
        <v>25094698</v>
      </c>
      <c r="C37" s="193">
        <f t="shared" si="23"/>
        <v>251221</v>
      </c>
      <c r="D37" s="327">
        <f>F37+H37+J37+N37+P37+L37+R37+T37</f>
        <v>24874734</v>
      </c>
      <c r="E37" s="193">
        <f aca="true" t="shared" si="24" ref="E37:E42">G37+I37+K37+O37+Q37+M37+S37+U37</f>
        <v>249075</v>
      </c>
      <c r="F37" s="193">
        <f>'附表5-1政'!F37+'附表5-3-教'!F37+'附表5-2公'!F37+'附表5-4-軍'!F37</f>
        <v>688673</v>
      </c>
      <c r="G37" s="193">
        <f>'附表5-1政'!G37+'附表5-3-教'!G37+'附表5-2公'!G37+'附表5-4-軍'!G37</f>
        <v>2262</v>
      </c>
      <c r="H37" s="193">
        <f>'附表5-1政'!H37+'附表5-3-教'!H37+'附表5-2公'!H37+'附表5-4-軍'!H37</f>
        <v>23190485</v>
      </c>
      <c r="I37" s="193">
        <f>'附表5-1政'!I37+'附表5-3-教'!I37+'附表5-2公'!I37+'附表5-4-軍'!I37</f>
        <v>222235</v>
      </c>
      <c r="J37" s="193">
        <f>'附表5-1政'!J37+'附表5-3-教'!J37+'附表5-2公'!J37+'附表5-4-軍'!J37</f>
        <v>181333</v>
      </c>
      <c r="K37" s="193">
        <f>'附表5-1政'!K37+'附表5-3-教'!K37+'附表5-2公'!K37+'附表5-4-軍'!K37</f>
        <v>1339</v>
      </c>
      <c r="L37" s="193">
        <f>'附表5-1政'!L37+'附表5-3-教'!L37+'附表5-2公'!L37+'附表5-4-軍'!L37</f>
        <v>3712</v>
      </c>
      <c r="M37" s="193">
        <f>'附表5-1政'!M37+'附表5-3-教'!M37+'附表5-2公'!M37+'附表5-4-軍'!M37</f>
        <v>98</v>
      </c>
      <c r="N37" s="193">
        <f>'附表5-1政'!N37+'附表5-3-教'!N37+'附表5-2公'!N37+'附表5-4-軍'!N37</f>
        <v>551953</v>
      </c>
      <c r="O37" s="193">
        <f>'附表5-1政'!O37+'附表5-3-教'!O37+'附表5-2公'!O37+'附表5-4-軍'!O37</f>
        <v>15268</v>
      </c>
      <c r="P37" s="193">
        <f>'附表5-1政'!P37+'附表5-3-教'!P37+'附表5-2公'!P37+'附表5-4-軍'!P37</f>
        <v>24220</v>
      </c>
      <c r="Q37" s="193">
        <f>'附表5-1政'!Q37+'附表5-3-教'!Q37+'附表5-2公'!Q37+'附表5-4-軍'!Q37</f>
        <v>17</v>
      </c>
      <c r="R37" s="193">
        <f>'附表5-1政'!R37+'附表5-3-教'!R37+'附表5-2公'!R37+'附表5-4-軍'!R37</f>
        <v>21645</v>
      </c>
      <c r="S37" s="193">
        <f>'附表5-1政'!S37+'附表5-3-教'!S37+'附表5-2公'!S37+'附表5-4-軍'!S37</f>
        <v>64</v>
      </c>
      <c r="T37" s="193">
        <f>'附表5-1政'!T37+'附表5-3-教'!T37+'附表5-2公'!T37+'附表5-4-軍'!T37</f>
        <v>212713</v>
      </c>
      <c r="U37" s="193">
        <f>'附表5-1政'!U37+'附表5-3-教'!U37+'附表5-2公'!U37+'附表5-4-軍'!U37</f>
        <v>7792</v>
      </c>
      <c r="V37" s="193">
        <f>+X37+Z37</f>
        <v>165177</v>
      </c>
      <c r="W37" s="193">
        <f t="shared" si="21"/>
        <v>1456</v>
      </c>
      <c r="X37" s="193">
        <f>'附表5-1政'!X37+'附表5-3-教'!X37+'附表5-2公'!X37+'附表5-4-軍'!X37</f>
        <v>63733</v>
      </c>
      <c r="Y37" s="193">
        <f>'附表5-1政'!Y37+'附表5-3-教'!Y37+'附表5-2公'!Y37+'附表5-4-軍'!Y37</f>
        <v>92</v>
      </c>
      <c r="Z37" s="193">
        <f>'附表5-1政'!Z37+'附表5-3-教'!Z37+'附表5-2公'!Z37+'附表5-4-軍'!Z37</f>
        <v>101444</v>
      </c>
      <c r="AA37" s="193">
        <f>'附表5-1政'!AA37+'附表5-3-教'!AA37+'附表5-2公'!AA37+'附表5-4-軍'!AA37</f>
        <v>1364</v>
      </c>
      <c r="AB37" s="193">
        <f t="shared" si="22"/>
        <v>54787</v>
      </c>
      <c r="AC37" s="193">
        <f t="shared" si="22"/>
        <v>690</v>
      </c>
      <c r="AD37" s="193">
        <f>'附表5-1政'!AD37+'附表5-3-教'!AD37+'附表5-2公'!AD37+'附表5-4-軍'!AD37</f>
        <v>41822</v>
      </c>
      <c r="AE37" s="193">
        <f>'附表5-1政'!AE37+'附表5-3-教'!AE37+'附表5-2公'!AE37+'附表5-4-軍'!AE37</f>
        <v>550</v>
      </c>
      <c r="AF37" s="193">
        <f>'附表5-1政'!AF37+'附表5-3-教'!AF37+'附表5-2公'!AF37+'附表5-4-軍'!AF37</f>
        <v>12965</v>
      </c>
      <c r="AG37" s="193">
        <f>'附表5-1政'!AG37+'附表5-3-教'!AG37+'附表5-2公'!AG37+'附表5-4-軍'!AG37</f>
        <v>140</v>
      </c>
      <c r="AH37" s="156"/>
    </row>
    <row r="38" spans="1:34" s="141" customFormat="1" ht="15.75" customHeight="1" hidden="1">
      <c r="A38" s="231" t="s">
        <v>209</v>
      </c>
      <c r="B38" s="262">
        <f t="shared" si="23"/>
        <v>25833782</v>
      </c>
      <c r="C38" s="193">
        <f t="shared" si="23"/>
        <v>255946</v>
      </c>
      <c r="D38" s="327">
        <f>F38+H38+J38+N38+P38+L38+R38+T38</f>
        <v>25564217</v>
      </c>
      <c r="E38" s="193">
        <f t="shared" si="24"/>
        <v>253458</v>
      </c>
      <c r="F38" s="193">
        <f>'附表5-1政'!F38+'附表5-3-教'!F38+'附表5-2公'!F38+'附表5-4-軍'!F38</f>
        <v>1061850</v>
      </c>
      <c r="G38" s="193">
        <f>'附表5-1政'!G38+'附表5-3-教'!G38+'附表5-2公'!G38+'附表5-4-軍'!G38</f>
        <v>3613</v>
      </c>
      <c r="H38" s="193">
        <f>'附表5-1政'!H38+'附表5-3-教'!H38+'附表5-2公'!H38+'附表5-4-軍'!H38</f>
        <v>23413220</v>
      </c>
      <c r="I38" s="193">
        <f>'附表5-1政'!I38+'附表5-3-教'!I38+'附表5-2公'!I38+'附表5-4-軍'!I38</f>
        <v>224544</v>
      </c>
      <c r="J38" s="193">
        <f>'附表5-1政'!J38+'附表5-3-教'!J38+'附表5-2公'!J38+'附表5-4-軍'!J38</f>
        <v>244447</v>
      </c>
      <c r="K38" s="193">
        <f>'附表5-1政'!K38+'附表5-3-教'!K38+'附表5-2公'!K38+'附表5-4-軍'!K38</f>
        <v>1950</v>
      </c>
      <c r="L38" s="193">
        <f>'附表5-1政'!L38+'附表5-3-教'!L38+'附表5-2公'!L38+'附表5-4-軍'!L38</f>
        <v>3742</v>
      </c>
      <c r="M38" s="193">
        <f>'附表5-1政'!M38+'附表5-3-教'!M38+'附表5-2公'!M38+'附表5-4-軍'!M38</f>
        <v>99</v>
      </c>
      <c r="N38" s="193">
        <f>'附表5-1政'!N38+'附表5-3-教'!N38+'附表5-2公'!N38+'附表5-4-軍'!N38</f>
        <v>562239</v>
      </c>
      <c r="O38" s="193">
        <f>'附表5-1政'!O38+'附表5-3-教'!O38+'附表5-2公'!O38+'附表5-4-軍'!O38</f>
        <v>15300</v>
      </c>
      <c r="P38" s="193">
        <f>'附表5-1政'!P38+'附表5-3-教'!P38+'附表5-2公'!P38+'附表5-4-軍'!P38</f>
        <v>33525</v>
      </c>
      <c r="Q38" s="193">
        <f>'附表5-1政'!Q38+'附表5-3-教'!Q38+'附表5-2公'!Q38+'附表5-4-軍'!Q38</f>
        <v>24</v>
      </c>
      <c r="R38" s="193">
        <f>'附表5-1政'!R38+'附表5-3-教'!R38+'附表5-2公'!R38+'附表5-4-軍'!R38</f>
        <v>31325</v>
      </c>
      <c r="S38" s="193">
        <f>'附表5-1政'!S38+'附表5-3-教'!S38+'附表5-2公'!S38+'附表5-4-軍'!S38</f>
        <v>83</v>
      </c>
      <c r="T38" s="193">
        <f>'附表5-1政'!T38+'附表5-3-教'!T38+'附表5-2公'!T38+'附表5-4-軍'!T38</f>
        <v>213869</v>
      </c>
      <c r="U38" s="193">
        <f>'附表5-1政'!U38+'附表5-3-教'!U38+'附表5-2公'!U38+'附表5-4-軍'!U38</f>
        <v>7845</v>
      </c>
      <c r="V38" s="193">
        <f>+X38+Z38</f>
        <v>188509</v>
      </c>
      <c r="W38" s="193">
        <f t="shared" si="21"/>
        <v>1506</v>
      </c>
      <c r="X38" s="193">
        <f>'附表5-1政'!X38+'附表5-3-教'!X38+'附表5-2公'!X38+'附表5-4-軍'!X38</f>
        <v>84382</v>
      </c>
      <c r="Y38" s="193">
        <f>'附表5-1政'!Y38+'附表5-3-教'!Y38+'附表5-2公'!Y38+'附表5-4-軍'!Y38</f>
        <v>118</v>
      </c>
      <c r="Z38" s="193">
        <f>'附表5-1政'!Z38+'附表5-3-教'!Z38+'附表5-2公'!Z38+'附表5-4-軍'!Z38-1</f>
        <v>104127</v>
      </c>
      <c r="AA38" s="193">
        <f>'附表5-1政'!AA38+'附表5-3-教'!AA38+'附表5-2公'!AA38+'附表5-4-軍'!AA38</f>
        <v>1388</v>
      </c>
      <c r="AB38" s="193">
        <f t="shared" si="22"/>
        <v>81056</v>
      </c>
      <c r="AC38" s="193">
        <f t="shared" si="22"/>
        <v>982</v>
      </c>
      <c r="AD38" s="193">
        <f>'附表5-1政'!AD38+'附表5-3-教'!AD38+'附表5-2公'!AD38+'附表5-4-軍'!AD38</f>
        <v>64642</v>
      </c>
      <c r="AE38" s="193">
        <f>'附表5-1政'!AE38+'附表5-3-教'!AE38+'附表5-2公'!AE38+'附表5-4-軍'!AE38</f>
        <v>797</v>
      </c>
      <c r="AF38" s="193">
        <f>'附表5-1政'!AF38+'附表5-3-教'!AF38+'附表5-2公'!AF38+'附表5-4-軍'!AF38</f>
        <v>16414</v>
      </c>
      <c r="AG38" s="193">
        <f>'附表5-1政'!AG38+'附表5-3-教'!AG38+'附表5-2公'!AG38+'附表5-4-軍'!AG38</f>
        <v>185</v>
      </c>
      <c r="AH38" s="156"/>
    </row>
    <row r="39" spans="1:34" s="141" customFormat="1" ht="15.75" customHeight="1" hidden="1">
      <c r="A39" s="231" t="s">
        <v>212</v>
      </c>
      <c r="B39" s="262">
        <f t="shared" si="23"/>
        <v>26380036</v>
      </c>
      <c r="C39" s="193">
        <f t="shared" si="23"/>
        <v>258662</v>
      </c>
      <c r="D39" s="327">
        <f>F39+H39+J39+N39+P39+L39+R39+T39+1</f>
        <v>26015726</v>
      </c>
      <c r="E39" s="193">
        <f t="shared" si="24"/>
        <v>255702</v>
      </c>
      <c r="F39" s="193">
        <f>'附表5-1政'!F39+'附表5-3-教'!F39+'附表5-2公'!F39+'附表5-4-軍'!F39</f>
        <v>1391766</v>
      </c>
      <c r="G39" s="193">
        <f>'附表5-1政'!G39+'附表5-3-教'!G39+'附表5-2公'!G39+'附表5-4-軍'!G39</f>
        <v>4610</v>
      </c>
      <c r="H39" s="193">
        <f>'附表5-1政'!H39+'附表5-3-教'!H39+'附表5-2公'!H39+'附表5-4-軍'!H39</f>
        <v>23466051</v>
      </c>
      <c r="I39" s="193">
        <f>'附表5-1政'!I39+'附表5-3-教'!I39+'附表5-2公'!I39+'附表5-4-軍'!I39</f>
        <v>225364</v>
      </c>
      <c r="J39" s="193">
        <f>'附表5-1政'!J39+'附表5-3-教'!J39+'附表5-2公'!J39+'附表5-4-軍'!J39</f>
        <v>290558</v>
      </c>
      <c r="K39" s="193">
        <f>'附表5-1政'!K39+'附表5-3-教'!K39+'附表5-2公'!K39+'附表5-4-軍'!K39</f>
        <v>2285</v>
      </c>
      <c r="L39" s="193">
        <f>'附表5-1政'!L39+'附表5-3-教'!L39+'附表5-2公'!L39+'附表5-4-軍'!L39</f>
        <v>3787</v>
      </c>
      <c r="M39" s="193">
        <f>'附表5-1政'!M39+'附表5-3-教'!M39+'附表5-2公'!M39+'附表5-4-軍'!M39</f>
        <v>100</v>
      </c>
      <c r="N39" s="193">
        <f>'附表5-1政'!N39+'附表5-3-教'!N39+'附表5-2公'!N39+'附表5-4-軍'!N39</f>
        <v>569769</v>
      </c>
      <c r="O39" s="193">
        <f>'附表5-1政'!O39+'附表5-3-教'!O39+'附表5-2公'!O39+'附表5-4-軍'!O39</f>
        <v>15318</v>
      </c>
      <c r="P39" s="193">
        <f>'附表5-1政'!P39+'附表5-3-教'!P39+'附表5-2公'!P39+'附表5-4-軍'!P39</f>
        <v>35455</v>
      </c>
      <c r="Q39" s="193">
        <f>'附表5-1政'!Q39+'附表5-3-教'!Q39+'附表5-2公'!Q39+'附表5-4-軍'!Q39</f>
        <v>25</v>
      </c>
      <c r="R39" s="193">
        <f>'附表5-1政'!R39+'附表5-3-教'!R39+'附表5-2公'!R39+'附表5-4-軍'!R39</f>
        <v>43491</v>
      </c>
      <c r="S39" s="193">
        <f>'附表5-1政'!S39+'附表5-3-教'!S39+'附表5-2公'!S39+'附表5-4-軍'!S39</f>
        <v>122</v>
      </c>
      <c r="T39" s="193">
        <f>'附表5-1政'!T39+'附表5-3-教'!T39+'附表5-2公'!T39+'附表5-4-軍'!T39</f>
        <v>214848</v>
      </c>
      <c r="U39" s="193">
        <f>'附表5-1政'!U39+'附表5-3-教'!U39+'附表5-2公'!U39+'附表5-4-軍'!U39</f>
        <v>7878</v>
      </c>
      <c r="V39" s="193">
        <f>+X39+Z39-1</f>
        <v>253251</v>
      </c>
      <c r="W39" s="193">
        <f t="shared" si="21"/>
        <v>1633</v>
      </c>
      <c r="X39" s="193">
        <f>'附表5-1政'!X39+'附表5-3-教'!X39+'附表5-2公'!X39+'附表5-4-軍'!X39</f>
        <v>140730</v>
      </c>
      <c r="Y39" s="193">
        <f>'附表5-1政'!Y39+'附表5-3-教'!Y39+'附表5-2公'!Y39+'附表5-4-軍'!Y39</f>
        <v>184</v>
      </c>
      <c r="Z39" s="193">
        <f>'附表5-1政'!Z39+'附表5-3-教'!Z39+'附表5-2公'!Z39+'附表5-4-軍'!Z39</f>
        <v>112522</v>
      </c>
      <c r="AA39" s="193">
        <f>'附表5-1政'!AA39+'附表5-3-教'!AA39+'附表5-2公'!AA39+'附表5-4-軍'!AA39</f>
        <v>1449</v>
      </c>
      <c r="AB39" s="193">
        <f>AD39+AF39+1</f>
        <v>111059</v>
      </c>
      <c r="AC39" s="193">
        <f aca="true" t="shared" si="25" ref="AC39:AC47">AE39+AG39</f>
        <v>1327</v>
      </c>
      <c r="AD39" s="193">
        <f>'附表5-1政'!AD39+'附表5-3-教'!AD39+'附表5-2公'!AD39+'附表5-4-軍'!AD39</f>
        <v>93799</v>
      </c>
      <c r="AE39" s="193">
        <f>'附表5-1政'!AE39+'附表5-3-教'!AE39+'附表5-2公'!AE39+'附表5-4-軍'!AE39</f>
        <v>1128</v>
      </c>
      <c r="AF39" s="193">
        <f>'附表5-1政'!AF39+'附表5-3-教'!AF39+'附表5-2公'!AF39+'附表5-4-軍'!AF39</f>
        <v>17259</v>
      </c>
      <c r="AG39" s="193">
        <f>'附表5-1政'!AG39+'附表5-3-教'!AG39+'附表5-2公'!AG39+'附表5-4-軍'!AG39</f>
        <v>199</v>
      </c>
      <c r="AH39" s="156"/>
    </row>
    <row r="40" spans="1:34" s="141" customFormat="1" ht="15.75" customHeight="1" hidden="1">
      <c r="A40" s="231" t="s">
        <v>213</v>
      </c>
      <c r="B40" s="262">
        <f aca="true" t="shared" si="26" ref="B40:B45">D40+V40+AB40</f>
        <v>26758735</v>
      </c>
      <c r="C40" s="193">
        <f t="shared" si="23"/>
        <v>260515</v>
      </c>
      <c r="D40" s="327">
        <f aca="true" t="shared" si="27" ref="D40:D45">F40+H40+J40+N40+P40+L40+R40+T40</f>
        <v>26300570</v>
      </c>
      <c r="E40" s="193">
        <f t="shared" si="24"/>
        <v>257034</v>
      </c>
      <c r="F40" s="193">
        <f>'附表5-1政'!F40+'附表5-3-教'!F40+'附表5-2公'!F40+'附表5-4-軍'!F40</f>
        <v>1620415</v>
      </c>
      <c r="G40" s="193">
        <f>'附表5-1政'!G40+'附表5-3-教'!G40+'附表5-2公'!G40+'附表5-4-軍'!G40</f>
        <v>5395</v>
      </c>
      <c r="H40" s="193">
        <f>'附表5-1政'!H40+'附表5-3-教'!H40+'附表5-2公'!H40+'附表5-4-軍'!H40</f>
        <v>23478159</v>
      </c>
      <c r="I40" s="193">
        <f>'附表5-1政'!I40+'附表5-3-教'!I40+'附表5-2公'!I40+'附表5-4-軍'!I40</f>
        <v>225682</v>
      </c>
      <c r="J40" s="193">
        <f>'附表5-1政'!J40+'附表5-3-教'!J40+'附表5-2公'!J40+'附表5-4-軍'!J40</f>
        <v>315593</v>
      </c>
      <c r="K40" s="193">
        <f>'附表5-1政'!K40+'附表5-3-教'!K40+'附表5-2公'!K40+'附表5-4-軍'!K40</f>
        <v>2454</v>
      </c>
      <c r="L40" s="193">
        <f>'附表5-1政'!L40+'附表5-3-教'!L40+'附表5-2公'!L40+'附表5-4-軍'!L40</f>
        <v>3787</v>
      </c>
      <c r="M40" s="193">
        <f>'附表5-1政'!M40+'附表5-3-教'!M40+'附表5-2公'!M40+'附表5-4-軍'!M40</f>
        <v>100</v>
      </c>
      <c r="N40" s="193">
        <f>'附表5-1政'!N40+'附表5-3-教'!N40+'附表5-2公'!N40+'附表5-4-軍'!N40</f>
        <v>570496</v>
      </c>
      <c r="O40" s="193">
        <f>'附表5-1政'!O40+'附表5-3-教'!O40+'附表5-2公'!O40+'附表5-4-軍'!O40</f>
        <v>15326</v>
      </c>
      <c r="P40" s="193">
        <f>'附表5-1政'!P40+'附表5-3-教'!P40+'附表5-2公'!P40+'附表5-4-軍'!P40</f>
        <v>38764</v>
      </c>
      <c r="Q40" s="193">
        <f>'附表5-1政'!Q40+'附表5-3-教'!Q40+'附表5-2公'!Q40+'附表5-4-軍'!Q40</f>
        <v>28</v>
      </c>
      <c r="R40" s="193">
        <f>'附表5-1政'!R40+'附表5-3-教'!R40+'附表5-2公'!R40+'附表5-4-軍'!R40</f>
        <v>58291</v>
      </c>
      <c r="S40" s="193">
        <f>'附表5-1政'!S40+'附表5-3-教'!S40+'附表5-2公'!S40+'附表5-4-軍'!S40</f>
        <v>158</v>
      </c>
      <c r="T40" s="193">
        <f>'附表5-1政'!T40+'附表5-3-教'!T40+'附表5-2公'!T40+'附表5-4-軍'!T40</f>
        <v>215065</v>
      </c>
      <c r="U40" s="193">
        <f>'附表5-1政'!U40+'附表5-3-教'!U40+'附表5-2公'!U40+'附表5-4-軍'!U40</f>
        <v>7891</v>
      </c>
      <c r="V40" s="193">
        <f aca="true" t="shared" si="28" ref="V40:V45">+X40+Z40</f>
        <v>299927</v>
      </c>
      <c r="W40" s="193">
        <f t="shared" si="21"/>
        <v>1722</v>
      </c>
      <c r="X40" s="193">
        <f>'附表5-1政'!X40+'附表5-3-教'!X40+'附表5-2公'!X40+'附表5-4-軍'!X40</f>
        <v>181724</v>
      </c>
      <c r="Y40" s="193">
        <f>'附表5-1政'!Y40+'附表5-3-教'!Y40+'附表5-2公'!Y40+'附表5-4-軍'!Y40</f>
        <v>237</v>
      </c>
      <c r="Z40" s="193">
        <f>'附表5-1政'!Z40+'附表5-3-教'!Z40+'附表5-2公'!Z40+'附表5-4-軍'!Z40</f>
        <v>118203</v>
      </c>
      <c r="AA40" s="193">
        <f>'附表5-1政'!AA40+'附表5-3-教'!AA40+'附表5-2公'!AA40+'附表5-4-軍'!AA40</f>
        <v>1485</v>
      </c>
      <c r="AB40" s="193">
        <f aca="true" t="shared" si="29" ref="AB40:AB47">AD40+AF40</f>
        <v>158238</v>
      </c>
      <c r="AC40" s="193">
        <f t="shared" si="25"/>
        <v>1759</v>
      </c>
      <c r="AD40" s="193">
        <f>'附表5-1政'!AD40+'附表5-3-教'!AD40+'附表5-2公'!AD40+'附表5-4-軍'!AD40</f>
        <v>140429</v>
      </c>
      <c r="AE40" s="193">
        <f>'附表5-1政'!AE40+'附表5-3-教'!AE40+'附表5-2公'!AE40+'附表5-4-軍'!AE40</f>
        <v>1550</v>
      </c>
      <c r="AF40" s="193">
        <f>'附表5-1政'!AF40+'附表5-3-教'!AF40+'附表5-2公'!AF40+'附表5-4-軍'!AF40</f>
        <v>17809</v>
      </c>
      <c r="AG40" s="193">
        <f>'附表5-1政'!AG40+'附表5-3-教'!AG40+'附表5-2公'!AG40+'附表5-4-軍'!AG40</f>
        <v>209</v>
      </c>
      <c r="AH40" s="156"/>
    </row>
    <row r="41" spans="1:34" s="141" customFormat="1" ht="15.75" customHeight="1" hidden="1">
      <c r="A41" s="231" t="s">
        <v>214</v>
      </c>
      <c r="B41" s="262">
        <f t="shared" si="26"/>
        <v>27216215</v>
      </c>
      <c r="C41" s="193">
        <f t="shared" si="23"/>
        <v>264035</v>
      </c>
      <c r="D41" s="327">
        <f t="shared" si="27"/>
        <v>26677472</v>
      </c>
      <c r="E41" s="193">
        <f t="shared" si="24"/>
        <v>260041</v>
      </c>
      <c r="F41" s="193">
        <f>'附表5-1政'!F41+'附表5-3-教'!F41+'附表5-2公'!F41+'附表5-4-軍'!F41</f>
        <v>1924224</v>
      </c>
      <c r="G41" s="193">
        <f>'附表5-1政'!G41+'附表5-3-教'!G41+'附表5-2公'!G41+'附表5-4-軍'!G41</f>
        <v>6482</v>
      </c>
      <c r="H41" s="193">
        <f>'附表5-1政'!H41+'附表5-3-教'!H41+'附表5-2公'!H41+'附表5-4-軍'!H41</f>
        <v>23515416</v>
      </c>
      <c r="I41" s="193">
        <f>'附表5-1政'!I41+'附表5-3-教'!I41+'附表5-2公'!I41+'附表5-4-軍'!I41</f>
        <v>227300</v>
      </c>
      <c r="J41" s="193">
        <f>'附表5-1政'!J41+'附表5-3-教'!J41+'附表5-2公'!J41+'附表5-4-軍'!J41</f>
        <v>338372</v>
      </c>
      <c r="K41" s="193">
        <f>'附表5-1政'!K41+'附表5-3-教'!K41+'附表5-2公'!K41+'附表5-4-軍'!K41</f>
        <v>2705</v>
      </c>
      <c r="L41" s="193">
        <f>'附表5-1政'!L41+'附表5-3-教'!L41+'附表5-2公'!L41+'附表5-4-軍'!L41</f>
        <v>3787</v>
      </c>
      <c r="M41" s="193">
        <f>'附表5-1政'!M41+'附表5-3-教'!M41+'附表5-2公'!M41+'附表5-4-軍'!M41</f>
        <v>100</v>
      </c>
      <c r="N41" s="193">
        <f>'附表5-1政'!N41+'附表5-3-教'!N41+'附表5-2公'!N41+'附表5-4-軍'!N41</f>
        <v>573996</v>
      </c>
      <c r="O41" s="193">
        <f>'附表5-1政'!O41+'附表5-3-教'!O41+'附表5-2公'!O41+'附表5-4-軍'!O41</f>
        <v>15333</v>
      </c>
      <c r="P41" s="193">
        <f>'附表5-1政'!P41+'附表5-3-教'!P41+'附表5-2公'!P41+'附表5-4-軍'!P41</f>
        <v>42793</v>
      </c>
      <c r="Q41" s="193">
        <f>'附表5-1政'!Q41+'附表5-3-教'!Q41+'附表5-2公'!Q41+'附表5-4-軍'!Q41</f>
        <v>30</v>
      </c>
      <c r="R41" s="193">
        <f>'附表5-1政'!R41+'附表5-3-教'!R41+'附表5-2公'!R41+'附表5-4-軍'!R41</f>
        <v>63746</v>
      </c>
      <c r="S41" s="193">
        <f>'附表5-1政'!S41+'附表5-3-教'!S41+'附表5-2公'!S41+'附表5-4-軍'!S41</f>
        <v>183</v>
      </c>
      <c r="T41" s="193">
        <f>'附表5-1政'!T41+'附表5-3-教'!T41+'附表5-2公'!T41+'附表5-4-軍'!T41</f>
        <v>215138</v>
      </c>
      <c r="U41" s="193">
        <f>'附表5-1政'!U41+'附表5-3-教'!U41+'附表5-2公'!U41+'附表5-4-軍'!U41</f>
        <v>7908</v>
      </c>
      <c r="V41" s="193">
        <f t="shared" si="28"/>
        <v>336678</v>
      </c>
      <c r="W41" s="193">
        <f t="shared" si="21"/>
        <v>1801</v>
      </c>
      <c r="X41" s="193">
        <f>'附表5-1政'!X41+'附表5-3-教'!X41+'附表5-2公'!X41+'附表5-4-軍'!X41</f>
        <v>213376</v>
      </c>
      <c r="Y41" s="193">
        <f>'附表5-1政'!Y41+'附表5-3-教'!Y41+'附表5-2公'!Y41+'附表5-4-軍'!Y41</f>
        <v>280</v>
      </c>
      <c r="Z41" s="193">
        <f>'附表5-1政'!Z41+'附表5-3-教'!Z41+'附表5-2公'!Z41+'附表5-4-軍'!Z41</f>
        <v>123302</v>
      </c>
      <c r="AA41" s="193">
        <f>'附表5-1政'!AA41+'附表5-3-教'!AA41+'附表5-2公'!AA41+'附表5-4-軍'!AA41</f>
        <v>1521</v>
      </c>
      <c r="AB41" s="193">
        <f t="shared" si="29"/>
        <v>202065</v>
      </c>
      <c r="AC41" s="193">
        <f t="shared" si="25"/>
        <v>2193</v>
      </c>
      <c r="AD41" s="193">
        <f>'附表5-1政'!AD41+'附表5-3-教'!AD41+'附表5-2公'!AD41+'附表5-4-軍'!AD41</f>
        <v>181936</v>
      </c>
      <c r="AE41" s="193">
        <f>'附表5-1政'!AE41+'附表5-3-教'!AE41+'附表5-2公'!AE41+'附表5-4-軍'!AE41</f>
        <v>1938</v>
      </c>
      <c r="AF41" s="193">
        <f>'附表5-1政'!AF41+'附表5-3-教'!AF41+'附表5-2公'!AF41+'附表5-4-軍'!AF41</f>
        <v>20129</v>
      </c>
      <c r="AG41" s="193">
        <f>'附表5-1政'!AG41+'附表5-3-教'!AG41+'附表5-2公'!AG41+'附表5-4-軍'!AG41</f>
        <v>255</v>
      </c>
      <c r="AH41" s="156"/>
    </row>
    <row r="42" spans="1:34" s="141" customFormat="1" ht="15.75" customHeight="1" hidden="1">
      <c r="A42" s="231" t="s">
        <v>215</v>
      </c>
      <c r="B42" s="262">
        <f t="shared" si="26"/>
        <v>53809492</v>
      </c>
      <c r="C42" s="193">
        <f t="shared" si="23"/>
        <v>523809</v>
      </c>
      <c r="D42" s="327">
        <f t="shared" si="27"/>
        <v>52511791</v>
      </c>
      <c r="E42" s="193">
        <f t="shared" si="24"/>
        <v>514451</v>
      </c>
      <c r="F42" s="193">
        <f>'附表5-1政'!F42+'附表5-3-教'!F42+'附表5-2公'!F42+'附表5-4-軍'!F42</f>
        <v>2459503</v>
      </c>
      <c r="G42" s="193">
        <f>'附表5-1政'!G42+'附表5-3-教'!G42+'附表5-2公'!G42+'附表5-4-軍'!G42</f>
        <v>7703</v>
      </c>
      <c r="H42" s="193">
        <f>'附表5-1政'!H42+'附表5-3-教'!H42+'附表5-2公'!H42+'附表5-4-軍'!H42</f>
        <v>47896053</v>
      </c>
      <c r="I42" s="193">
        <f>'附表5-1政'!I42+'附表5-3-教'!I42+'附表5-2公'!I42+'附表5-4-軍'!I42</f>
        <v>456044</v>
      </c>
      <c r="J42" s="193">
        <f>'附表5-1政'!J42+'附表5-3-教'!J42+'附表5-2公'!J42+'附表5-4-軍'!J42</f>
        <v>453323</v>
      </c>
      <c r="K42" s="193">
        <f>'附表5-1政'!K42+'附表5-3-教'!K42+'附表5-2公'!K42+'附表5-4-軍'!K42</f>
        <v>3571</v>
      </c>
      <c r="L42" s="193">
        <f>'附表5-1政'!L42+'附表5-3-教'!L42+'附表5-2公'!L42+'附表5-4-軍'!L42</f>
        <v>7633</v>
      </c>
      <c r="M42" s="193">
        <f>'附表5-1政'!M42+'附表5-3-教'!M42+'附表5-2公'!M42+'附表5-4-軍'!M42</f>
        <v>200</v>
      </c>
      <c r="N42" s="193">
        <f>'附表5-1政'!N42+'附表5-3-教'!N42+'附表5-2公'!N42+'附表5-4-軍'!N42</f>
        <v>1120190</v>
      </c>
      <c r="O42" s="193">
        <f>'附表5-1政'!O42+'附表5-3-教'!O42+'附表5-2公'!O42+'附表5-4-軍'!O42</f>
        <v>30505</v>
      </c>
      <c r="P42" s="193">
        <f>'附表5-1政'!P42+'附表5-3-教'!P42+'附表5-2公'!P42+'附表5-4-軍'!P42</f>
        <v>47306</v>
      </c>
      <c r="Q42" s="193">
        <f>'附表5-1政'!Q42+'附表5-3-教'!Q42+'附表5-2公'!Q42+'附表5-4-軍'!Q42</f>
        <v>35</v>
      </c>
      <c r="R42" s="193">
        <f>'附表5-1政'!R42+'附表5-3-教'!R42+'附表5-2公'!R42+'附表5-4-軍'!R42</f>
        <v>81815</v>
      </c>
      <c r="S42" s="193">
        <f>'附表5-1政'!S42+'附表5-3-教'!S42+'附表5-2公'!S42+'附表5-4-軍'!S42</f>
        <v>233</v>
      </c>
      <c r="T42" s="193">
        <f>'附表5-1政'!T42+'附表5-3-教'!T42+'附表5-2公'!T42+'附表5-4-軍'!T42</f>
        <v>445968</v>
      </c>
      <c r="U42" s="193">
        <f>'附表5-1政'!U42+'附表5-3-教'!U42+'附表5-2公'!U42+'附表5-4-軍'!U42</f>
        <v>16160</v>
      </c>
      <c r="V42" s="193">
        <f t="shared" si="28"/>
        <v>1039488</v>
      </c>
      <c r="W42" s="193">
        <f aca="true" t="shared" si="30" ref="W42:W47">+Y42+AA42</f>
        <v>6521</v>
      </c>
      <c r="X42" s="193">
        <f>'附表5-1政'!X42+'附表5-3-教'!X42+'附表5-2公'!X42+'附表5-4-軍'!X42</f>
        <v>254358</v>
      </c>
      <c r="Y42" s="193">
        <f>'附表5-1政'!Y42+'附表5-3-教'!Y42+'附表5-2公'!Y42+'附表5-4-軍'!Y42</f>
        <v>327</v>
      </c>
      <c r="Z42" s="193">
        <f>'附表5-1政'!Z42+'附表5-3-教'!Z42+'附表5-2公'!Z42+'附表5-4-軍'!Z42</f>
        <v>785130</v>
      </c>
      <c r="AA42" s="193">
        <f>'附表5-1政'!AA42+'附表5-3-教'!AA42+'附表5-2公'!AA42+'附表5-4-軍'!AA42</f>
        <v>6194</v>
      </c>
      <c r="AB42" s="193">
        <f t="shared" si="29"/>
        <v>258213</v>
      </c>
      <c r="AC42" s="193">
        <f t="shared" si="25"/>
        <v>2837</v>
      </c>
      <c r="AD42" s="193">
        <f>'附表5-1政'!AD42+'附表5-3-教'!AD42+'附表5-2公'!AD42+'附表5-4-軍'!AD42</f>
        <v>222676</v>
      </c>
      <c r="AE42" s="193">
        <f>'附表5-1政'!AE42+'附表5-3-教'!AE42+'附表5-2公'!AE42+'附表5-4-軍'!AE42</f>
        <v>2386</v>
      </c>
      <c r="AF42" s="193">
        <f>'附表5-1政'!AF42+'附表5-3-教'!AF42+'附表5-2公'!AF42+'附表5-4-軍'!AF42</f>
        <v>35537</v>
      </c>
      <c r="AG42" s="193">
        <f>'附表5-1政'!AG42+'附表5-3-教'!AG42+'附表5-2公'!AG42+'附表5-4-軍'!AG42</f>
        <v>451</v>
      </c>
      <c r="AH42" s="156"/>
    </row>
    <row r="43" spans="1:34" s="141" customFormat="1" ht="15.75" customHeight="1" hidden="1">
      <c r="A43" s="231" t="s">
        <v>216</v>
      </c>
      <c r="B43" s="262">
        <f t="shared" si="26"/>
        <v>55316455</v>
      </c>
      <c r="C43" s="193">
        <f>E43+W43+AC43</f>
        <v>531548</v>
      </c>
      <c r="D43" s="327">
        <f t="shared" si="27"/>
        <v>53913909</v>
      </c>
      <c r="E43" s="193">
        <f>G43+I43+K43+O43+Q43+M43+S43+U43</f>
        <v>521471</v>
      </c>
      <c r="F43" s="193">
        <f>'附表5-1政'!F43+'附表5-3-教'!F43+'附表5-2公'!F43+'附表5-4-軍'!F43</f>
        <v>2927303</v>
      </c>
      <c r="G43" s="193">
        <f>'附表5-1政'!G43+'附表5-3-教'!G43+'附表5-2公'!G43+'附表5-4-軍'!G43</f>
        <v>8715</v>
      </c>
      <c r="H43" s="193">
        <f>'附表5-1政'!H43+'附表5-3-教'!H43+'附表5-2公'!H43+'附表5-4-軍'!H43</f>
        <v>48624097</v>
      </c>
      <c r="I43" s="193">
        <f>'附表5-1政'!I43+'附表5-3-教'!I43+'附表5-2公'!I43+'附表5-4-軍'!I43</f>
        <v>460740</v>
      </c>
      <c r="J43" s="193">
        <f>'附表5-1政'!J43+'附表5-3-教'!J43+'附表5-2公'!J43+'附表5-4-軍'!J43</f>
        <v>581000</v>
      </c>
      <c r="K43" s="193">
        <f>'附表5-1政'!K43+'附表5-3-教'!K43+'附表5-2公'!K43+'附表5-4-軍'!K43</f>
        <v>4670</v>
      </c>
      <c r="L43" s="193">
        <f>'附表5-1政'!L43+'附表5-3-教'!L43+'附表5-2公'!L43+'附表5-4-軍'!L43</f>
        <v>7729</v>
      </c>
      <c r="M43" s="193">
        <f>'附表5-1政'!M43+'附表5-3-教'!M43+'附表5-2公'!M43+'附表5-4-軍'!M43</f>
        <v>201</v>
      </c>
      <c r="N43" s="193">
        <f>'附表5-1政'!N43+'附表5-3-教'!N43+'附表5-2公'!N43+'附表5-4-軍'!N43</f>
        <v>1163506</v>
      </c>
      <c r="O43" s="193">
        <f>'附表5-1政'!O43+'附表5-3-教'!O43+'附表5-2公'!O43+'附表5-4-軍'!O43</f>
        <v>30589</v>
      </c>
      <c r="P43" s="193">
        <f>'附表5-1政'!P43+'附表5-3-教'!P43+'附表5-2公'!P43+'附表5-4-軍'!P43</f>
        <v>69305</v>
      </c>
      <c r="Q43" s="193">
        <f>'附表5-1政'!Q43+'附表5-3-教'!Q43+'附表5-2公'!Q43+'附表5-4-軍'!Q43</f>
        <v>50</v>
      </c>
      <c r="R43" s="193">
        <f>'附表5-1政'!R43+'附表5-3-教'!R43+'附表5-2公'!R43+'附表5-4-軍'!R43</f>
        <v>93255</v>
      </c>
      <c r="S43" s="193">
        <f>'附表5-1政'!S43+'附表5-3-教'!S43+'附表5-2公'!S43+'附表5-4-軍'!S43</f>
        <v>255</v>
      </c>
      <c r="T43" s="193">
        <f>'附表5-1政'!T43+'附表5-3-教'!T43+'附表5-2公'!T43+'附表5-4-軍'!T43</f>
        <v>447714</v>
      </c>
      <c r="U43" s="193">
        <f>'附表5-1政'!U43+'附表5-3-教'!U43+'附表5-2公'!U43+'附表5-4-軍'!U43</f>
        <v>16251</v>
      </c>
      <c r="V43" s="193">
        <f t="shared" si="28"/>
        <v>1095943</v>
      </c>
      <c r="W43" s="193">
        <f t="shared" si="30"/>
        <v>6688</v>
      </c>
      <c r="X43" s="193">
        <f>'附表5-1政'!X43+'附表5-3-教'!X43+'附表5-2公'!X43+'附表5-4-軍'!X43</f>
        <v>302507</v>
      </c>
      <c r="Y43" s="193">
        <f>'附表5-1政'!Y43+'附表5-3-教'!Y43+'附表5-2公'!Y43+'附表5-4-軍'!Y43</f>
        <v>384</v>
      </c>
      <c r="Z43" s="193">
        <f>'附表5-1政'!Z43+'附表5-3-教'!Z43+'附表5-2公'!Z43+'附表5-4-軍'!Z43</f>
        <v>793436</v>
      </c>
      <c r="AA43" s="193">
        <f>'附表5-1政'!AA43+'附表5-3-教'!AA43+'附表5-2公'!AA43+'附表5-4-軍'!AA43</f>
        <v>6304</v>
      </c>
      <c r="AB43" s="193">
        <f t="shared" si="29"/>
        <v>306603</v>
      </c>
      <c r="AC43" s="193">
        <f t="shared" si="25"/>
        <v>3389</v>
      </c>
      <c r="AD43" s="193">
        <f>'附表5-1政'!AD43+'附表5-3-教'!AD43+'附表5-2公'!AD43+'附表5-4-軍'!AD43</f>
        <v>262965</v>
      </c>
      <c r="AE43" s="193">
        <f>'附表5-1政'!AE43+'附表5-3-教'!AE43+'附表5-2公'!AE43+'附表5-4-軍'!AE43</f>
        <v>2798</v>
      </c>
      <c r="AF43" s="193">
        <f>'附表5-1政'!AF43+'附表5-3-教'!AF43+'附表5-2公'!AF43+'附表5-4-軍'!AF43</f>
        <v>43638</v>
      </c>
      <c r="AG43" s="193">
        <f>'附表5-1政'!AG43+'附表5-3-教'!AG43+'附表5-2公'!AG43+'附表5-4-軍'!AG43</f>
        <v>591</v>
      </c>
      <c r="AH43" s="156"/>
    </row>
    <row r="44" spans="1:34" s="141" customFormat="1" ht="15.75" customHeight="1" hidden="1">
      <c r="A44" s="231" t="s">
        <v>217</v>
      </c>
      <c r="B44" s="262">
        <f t="shared" si="26"/>
        <v>56042623</v>
      </c>
      <c r="C44" s="193">
        <f>E44+W44+AC44</f>
        <v>535136</v>
      </c>
      <c r="D44" s="327">
        <f t="shared" si="27"/>
        <v>54559670</v>
      </c>
      <c r="E44" s="193">
        <f>G44+I44+K44+O44+Q44+M44+S44+U44</f>
        <v>524483</v>
      </c>
      <c r="F44" s="193">
        <f>'附表5-1政'!F44+'附表5-3-教'!F44+'附表5-2公'!F44+'附表5-4-軍'!F44</f>
        <v>3426302</v>
      </c>
      <c r="G44" s="193">
        <f>'附表5-1政'!G44+'附表5-3-教'!G44+'附表5-2公'!G44+'附表5-4-軍'!G44</f>
        <v>10486</v>
      </c>
      <c r="H44" s="193">
        <f>'附表5-1政'!H44+'附表5-3-教'!H44+'附表5-2公'!H44+'附表5-4-軍'!H44</f>
        <v>48702160</v>
      </c>
      <c r="I44" s="193">
        <f>'附表5-1政'!I44+'附表5-3-教'!I44+'附表5-2公'!I44+'附表5-4-軍'!I44</f>
        <v>461575</v>
      </c>
      <c r="J44" s="193">
        <f>'附表5-1政'!J44+'附表5-3-教'!J44+'附表5-2公'!J44+'附表5-4-軍'!J44</f>
        <v>622169</v>
      </c>
      <c r="K44" s="193">
        <f>'附表5-1政'!K44+'附表5-3-教'!K44+'附表5-2公'!K44+'附表5-4-軍'!K44</f>
        <v>4978</v>
      </c>
      <c r="L44" s="193">
        <f>'附表5-1政'!L44+'附表5-3-教'!L44+'附表5-2公'!L44+'附表5-4-軍'!L44</f>
        <v>7729</v>
      </c>
      <c r="M44" s="193">
        <f>'附表5-1政'!M44+'附表5-3-教'!M44+'附表5-2公'!M44+'附表5-4-軍'!M44</f>
        <v>201</v>
      </c>
      <c r="N44" s="193">
        <f>'附表5-1政'!N44+'附表5-3-教'!N44+'附表5-2公'!N44+'附表5-4-軍'!N44</f>
        <v>1175181</v>
      </c>
      <c r="O44" s="193">
        <f>'附表5-1政'!O44+'附表5-3-教'!O44+'附表5-2公'!O44+'附表5-4-軍'!O44</f>
        <v>30613</v>
      </c>
      <c r="P44" s="193">
        <f>'附表5-1政'!P44+'附表5-3-教'!P44+'附表5-2公'!P44+'附表5-4-軍'!P44</f>
        <v>76910</v>
      </c>
      <c r="Q44" s="193">
        <f>'附表5-1政'!Q44+'附表5-3-教'!Q44+'附表5-2公'!Q44+'附表5-4-軍'!Q44</f>
        <v>55</v>
      </c>
      <c r="R44" s="193">
        <f>'附表5-1政'!R44+'附表5-3-教'!R44+'附表5-2公'!R44+'附表5-4-軍'!R44</f>
        <v>100723</v>
      </c>
      <c r="S44" s="193">
        <f>'附表5-1政'!S44+'附表5-3-教'!S44+'附表5-2公'!S44+'附表5-4-軍'!S44</f>
        <v>279</v>
      </c>
      <c r="T44" s="193">
        <f>'附表5-1政'!T44+'附表5-3-教'!T44+'附表5-2公'!T44+'附表5-4-軍'!T44</f>
        <v>448496</v>
      </c>
      <c r="U44" s="193">
        <f>'附表5-1政'!U44+'附表5-3-教'!U44+'附表5-2公'!U44+'附表5-4-軍'!U44</f>
        <v>16296</v>
      </c>
      <c r="V44" s="193">
        <f t="shared" si="28"/>
        <v>1137217</v>
      </c>
      <c r="W44" s="193">
        <f t="shared" si="30"/>
        <v>6786</v>
      </c>
      <c r="X44" s="193">
        <f>'附表5-1政'!X44+'附表5-3-教'!X44+'附表5-2公'!X44+'附表5-4-軍'!X44</f>
        <v>338867</v>
      </c>
      <c r="Y44" s="193">
        <f>'附表5-1政'!Y44+'附表5-3-教'!Y44+'附表5-2公'!Y44+'附表5-4-軍'!Y44</f>
        <v>430</v>
      </c>
      <c r="Z44" s="193">
        <f>'附表5-1政'!Z44+'附表5-3-教'!Z44+'附表5-2公'!Z44+'附表5-4-軍'!Z44</f>
        <v>798350</v>
      </c>
      <c r="AA44" s="193">
        <f>'附表5-1政'!AA44+'附表5-3-教'!AA44+'附表5-2公'!AA44+'附表5-4-軍'!AA44</f>
        <v>6356</v>
      </c>
      <c r="AB44" s="193">
        <f t="shared" si="29"/>
        <v>345736</v>
      </c>
      <c r="AC44" s="193">
        <f t="shared" si="25"/>
        <v>3867</v>
      </c>
      <c r="AD44" s="193">
        <f>'附表5-1政'!AD44+'附表5-3-教'!AD44+'附表5-2公'!AD44+'附表5-4-軍'!AD44</f>
        <v>301206</v>
      </c>
      <c r="AE44" s="193">
        <f>'附表5-1政'!AE44+'附表5-3-教'!AE44+'附表5-2公'!AE44+'附表5-4-軍'!AE44</f>
        <v>3258</v>
      </c>
      <c r="AF44" s="193">
        <f>'附表5-1政'!AF44+'附表5-3-教'!AF44+'附表5-2公'!AF44+'附表5-4-軍'!AF44</f>
        <v>44530</v>
      </c>
      <c r="AG44" s="193">
        <f>'附表5-1政'!AG44+'附表5-3-教'!AG44+'附表5-2公'!AG44+'附表5-4-軍'!AG44</f>
        <v>609</v>
      </c>
      <c r="AH44" s="156"/>
    </row>
    <row r="45" spans="1:34" s="141" customFormat="1" ht="15.75" customHeight="1" hidden="1">
      <c r="A45" s="231" t="s">
        <v>218</v>
      </c>
      <c r="B45" s="262">
        <f t="shared" si="26"/>
        <v>56561607</v>
      </c>
      <c r="C45" s="193">
        <f>E45+W45+AC45</f>
        <v>537767</v>
      </c>
      <c r="D45" s="327">
        <f t="shared" si="27"/>
        <v>54994136</v>
      </c>
      <c r="E45" s="193">
        <f>G45+I45+K45+O45+Q45+M45+S45+U45</f>
        <v>526566</v>
      </c>
      <c r="F45" s="193">
        <f>'附表5-1政'!F45+'附表5-3-教'!F45+'附表5-2公'!F45+'附表5-4-軍'!F45</f>
        <v>3794420</v>
      </c>
      <c r="G45" s="193">
        <f>'附表5-1政'!G45+'附表5-3-教'!G45+'附表5-2公'!G45+'附表5-4-軍'!G45</f>
        <v>11837</v>
      </c>
      <c r="H45" s="193">
        <f>'附表5-1政'!H45+'附表5-3-教'!H45+'附表5-2公'!H45+'附表5-4-軍'!H45</f>
        <v>48735211</v>
      </c>
      <c r="I45" s="193">
        <f>'附表5-1政'!I45+'附表5-3-教'!I45+'附表5-2公'!I45+'附表5-4-軍'!I45</f>
        <v>462084</v>
      </c>
      <c r="J45" s="193">
        <f>'附表5-1政'!J45+'附表5-3-教'!J45+'附表5-2公'!J45+'附表5-4-軍'!J45</f>
        <v>638230</v>
      </c>
      <c r="K45" s="193">
        <f>'附表5-1政'!K45+'附表5-3-教'!K45+'附表5-2公'!K45+'附表5-4-軍'!K45</f>
        <v>5147</v>
      </c>
      <c r="L45" s="193">
        <f>'附表5-1政'!L45+'附表5-3-教'!L45+'附表5-2公'!L45+'附表5-4-軍'!L45</f>
        <v>7729</v>
      </c>
      <c r="M45" s="193">
        <f>'附表5-1政'!M45+'附表5-3-教'!M45+'附表5-2公'!M45+'附表5-4-軍'!M45</f>
        <v>201</v>
      </c>
      <c r="N45" s="193">
        <f>'附表5-1政'!N45+'附表5-3-教'!N45+'附表5-2公'!N45+'附表5-4-軍'!N45</f>
        <v>1180253</v>
      </c>
      <c r="O45" s="193">
        <f>'附表5-1政'!O45+'附表5-3-教'!O45+'附表5-2公'!O45+'附表5-4-軍'!O45</f>
        <v>30623</v>
      </c>
      <c r="P45" s="193">
        <f>'附表5-1政'!P45+'附表5-3-教'!P45+'附表5-2公'!P45+'附表5-4-軍'!P45</f>
        <v>79931</v>
      </c>
      <c r="Q45" s="193">
        <f>'附表5-1政'!Q45+'附表5-3-教'!Q45+'附表5-2公'!Q45+'附表5-4-軍'!Q45</f>
        <v>59</v>
      </c>
      <c r="R45" s="193">
        <f>'附表5-1政'!R45+'附表5-3-教'!R45+'附表5-2公'!R45+'附表5-4-軍'!R45</f>
        <v>109505</v>
      </c>
      <c r="S45" s="193">
        <f>'附表5-1政'!S45+'附表5-3-教'!S45+'附表5-2公'!S45+'附表5-4-軍'!S45</f>
        <v>307</v>
      </c>
      <c r="T45" s="193">
        <f>'附表5-1政'!T45+'附表5-3-教'!T45+'附表5-2公'!T45+'附表5-4-軍'!T45</f>
        <v>448857</v>
      </c>
      <c r="U45" s="193">
        <f>'附表5-1政'!U45+'附表5-3-教'!U45+'附表5-2公'!U45+'附表5-4-軍'!U45</f>
        <v>16308</v>
      </c>
      <c r="V45" s="193">
        <f t="shared" si="28"/>
        <v>1175539</v>
      </c>
      <c r="W45" s="193">
        <f t="shared" si="30"/>
        <v>6873</v>
      </c>
      <c r="X45" s="193">
        <f>'附表5-1政'!X45+'附表5-3-教'!X45+'附表5-2公'!X45+'附表5-4-軍'!X45</f>
        <v>373927</v>
      </c>
      <c r="Y45" s="193">
        <f>'附表5-1政'!Y45+'附表5-3-教'!Y45+'附表5-2公'!Y45+'附表5-4-軍'!Y45</f>
        <v>474</v>
      </c>
      <c r="Z45" s="193">
        <f>'附表5-1政'!Z45+'附表5-3-教'!Z45+'附表5-2公'!Z45+'附表5-4-軍'!Z45</f>
        <v>801612</v>
      </c>
      <c r="AA45" s="193">
        <f>'附表5-1政'!AA45+'附表5-3-教'!AA45+'附表5-2公'!AA45+'附表5-4-軍'!AA45</f>
        <v>6399</v>
      </c>
      <c r="AB45" s="193">
        <f t="shared" si="29"/>
        <v>391932</v>
      </c>
      <c r="AC45" s="193">
        <f t="shared" si="25"/>
        <v>4328</v>
      </c>
      <c r="AD45" s="193">
        <f>'附表5-1政'!AD45+'附表5-3-教'!AD45+'附表5-2公'!AD45+'附表5-4-軍'!AD45</f>
        <v>345927</v>
      </c>
      <c r="AE45" s="193">
        <f>'附表5-1政'!AE45+'附表5-3-教'!AE45+'附表5-2公'!AE45+'附表5-4-軍'!AE45</f>
        <v>3697</v>
      </c>
      <c r="AF45" s="193">
        <f>'附表5-1政'!AF45+'附表5-3-教'!AF45+'附表5-2公'!AF45+'附表5-4-軍'!AF45</f>
        <v>46005</v>
      </c>
      <c r="AG45" s="193">
        <f>'附表5-1政'!AG45+'附表5-3-教'!AG45+'附表5-2公'!AG45+'附表5-4-軍'!AG45</f>
        <v>631</v>
      </c>
      <c r="AH45" s="156"/>
    </row>
    <row r="46" spans="1:34" s="141" customFormat="1" ht="15.75" customHeight="1" hidden="1">
      <c r="A46" s="231" t="s">
        <v>219</v>
      </c>
      <c r="B46" s="262">
        <f>D46+V46+AB46</f>
        <v>57062104</v>
      </c>
      <c r="C46" s="193">
        <f>E46+W46+AC46</f>
        <v>540622</v>
      </c>
      <c r="D46" s="327">
        <f>F46+H46+J46+N46+P46+L46+R46+T46</f>
        <v>55418230</v>
      </c>
      <c r="E46" s="193">
        <f>G46+I46+K46+O46+Q46+M46+S46+U46</f>
        <v>528893</v>
      </c>
      <c r="F46" s="193">
        <f>'附表5-1政'!F46+'附表5-3-教'!F46+'附表5-2公'!F46+'附表5-4-軍'!F46</f>
        <v>4099534</v>
      </c>
      <c r="G46" s="193">
        <f>'附表5-1政'!G46+'附表5-3-教'!G46+'附表5-2公'!G46+'附表5-4-軍'!G46</f>
        <v>12930</v>
      </c>
      <c r="H46" s="193">
        <f>'附表5-1政'!H46+'附表5-3-教'!H46+'附表5-2公'!H46+'附表5-4-軍'!H46</f>
        <v>48765745</v>
      </c>
      <c r="I46" s="193">
        <f>'附表5-1政'!I46+'附表5-3-教'!I46+'附表5-2公'!I46+'附表5-4-軍'!I46</f>
        <v>462790</v>
      </c>
      <c r="J46" s="193">
        <f>'附表5-1政'!J46+'附表5-3-教'!J46+'附表5-2公'!J46+'附表5-4-軍'!J46</f>
        <v>713396</v>
      </c>
      <c r="K46" s="193">
        <f>'附表5-1政'!K46+'附表5-3-教'!K46+'附表5-2公'!K46+'附表5-4-軍'!K46</f>
        <v>5624</v>
      </c>
      <c r="L46" s="193">
        <f>'附表5-1政'!L46+'附表5-3-教'!L46+'附表5-2公'!L46+'附表5-4-軍'!L46</f>
        <v>7727</v>
      </c>
      <c r="M46" s="193">
        <f>'附表5-1政'!M46+'附表5-3-教'!M46+'附表5-2公'!M46+'附表5-4-軍'!M46</f>
        <v>204</v>
      </c>
      <c r="N46" s="193">
        <f>'附表5-1政'!N46+'附表5-3-教'!N46+'附表5-2公'!N46+'附表5-4-軍'!N46</f>
        <v>1180253</v>
      </c>
      <c r="O46" s="193">
        <f>'附表5-1政'!O46+'附表5-3-教'!O46+'附表5-2公'!O46+'附表5-4-軍'!O46</f>
        <v>30623</v>
      </c>
      <c r="P46" s="193">
        <f>'附表5-1政'!P46+'附表5-3-教'!P46+'附表5-2公'!P46+'附表5-4-軍'!P46</f>
        <v>85912</v>
      </c>
      <c r="Q46" s="193">
        <f>'附表5-1政'!Q46+'附表5-3-教'!Q46+'附表5-2公'!Q46+'附表5-4-軍'!Q46</f>
        <v>63</v>
      </c>
      <c r="R46" s="193">
        <f>'附表5-1政'!R46+'附表5-3-教'!R46+'附表5-2公'!R46+'附表5-4-軍'!R46</f>
        <v>116431</v>
      </c>
      <c r="S46" s="193">
        <f>'附表5-1政'!S46+'附表5-3-教'!S46+'附表5-2公'!S46+'附表5-4-軍'!S46</f>
        <v>332</v>
      </c>
      <c r="T46" s="193">
        <f>'附表5-1政'!T46+'附表5-3-教'!T46+'附表5-2公'!T46+'附表5-4-軍'!T46</f>
        <v>449232</v>
      </c>
      <c r="U46" s="193">
        <f>'附表5-1政'!U46+'附表5-3-教'!U46+'附表5-2公'!U46+'附表5-4-軍'!U46</f>
        <v>16327</v>
      </c>
      <c r="V46" s="193">
        <f>+X46+Z46</f>
        <v>1225366</v>
      </c>
      <c r="W46" s="193">
        <f t="shared" si="30"/>
        <v>6996</v>
      </c>
      <c r="X46" s="193">
        <f>'附表5-1政'!X46+'附表5-3-教'!X46+'附表5-2公'!X46+'附表5-4-軍'!X46</f>
        <v>420472</v>
      </c>
      <c r="Y46" s="193">
        <f>'附表5-1政'!Y46+'附表5-3-教'!Y46+'附表5-2公'!Y46+'附表5-4-軍'!Y46</f>
        <v>534</v>
      </c>
      <c r="Z46" s="193">
        <f>'附表5-1政'!Z46+'附表5-3-教'!Z46+'附表5-2公'!Z46+'附表5-4-軍'!Z46</f>
        <v>804894</v>
      </c>
      <c r="AA46" s="193">
        <f>'附表5-1政'!AA46+'附表5-3-教'!AA46+'附表5-2公'!AA46+'附表5-4-軍'!AA46</f>
        <v>6462</v>
      </c>
      <c r="AB46" s="193">
        <f t="shared" si="29"/>
        <v>418508</v>
      </c>
      <c r="AC46" s="193">
        <f t="shared" si="25"/>
        <v>4733</v>
      </c>
      <c r="AD46" s="193">
        <f>'附表5-1政'!AD46+'附表5-3-教'!AD46+'附表5-2公'!AD46+'附表5-4-軍'!AD46</f>
        <v>372106</v>
      </c>
      <c r="AE46" s="193">
        <f>'附表5-1政'!AE46+'附表5-3-教'!AE46+'附表5-2公'!AE46+'附表5-4-軍'!AE46</f>
        <v>4094</v>
      </c>
      <c r="AF46" s="193">
        <f>'附表5-1政'!AF46+'附表5-3-教'!AF46+'附表5-2公'!AF46+'附表5-4-軍'!AF46</f>
        <v>46402</v>
      </c>
      <c r="AG46" s="193">
        <f>'附表5-1政'!AG46+'附表5-3-教'!AG46+'附表5-2公'!AG46+'附表5-4-軍'!AG46</f>
        <v>639</v>
      </c>
      <c r="AH46" s="156"/>
    </row>
    <row r="47" spans="1:34" s="141" customFormat="1" ht="15.75" customHeight="1" hidden="1">
      <c r="A47" s="231" t="s">
        <v>220</v>
      </c>
      <c r="B47" s="262">
        <f>D47+V47+AB47</f>
        <v>57728247</v>
      </c>
      <c r="C47" s="193">
        <f>E47+W47+AC47</f>
        <v>545284</v>
      </c>
      <c r="D47" s="327">
        <f>F47+H47+J47+N47+P47+L47+R47+T47</f>
        <v>56007307</v>
      </c>
      <c r="E47" s="193">
        <f>G47+I47+K47+O47+Q47+M47+S47+U47</f>
        <v>532960</v>
      </c>
      <c r="F47" s="193">
        <f>'附表5-1政'!F47+'附表5-3-教'!F47+'附表5-2公'!F47+'附表5-4-軍'!F47</f>
        <v>4546881</v>
      </c>
      <c r="G47" s="193">
        <f>'附表5-1政'!G47+'附表5-3-教'!G47+'附表5-2公'!G47+'附表5-4-軍'!G47</f>
        <v>14313</v>
      </c>
      <c r="H47" s="193">
        <f>'附表5-1政'!H47+'附表5-3-教'!H47+'附表5-2公'!H47+'附表5-4-軍'!H47</f>
        <v>48797875</v>
      </c>
      <c r="I47" s="193">
        <f>'附表5-1政'!I47+'附表5-3-教'!I47+'附表5-2公'!I47+'附表5-4-軍'!I47</f>
        <v>464847</v>
      </c>
      <c r="J47" s="193">
        <f>'附表5-1政'!J47+'附表5-3-教'!J47+'附表5-2公'!J47+'附表5-4-軍'!J47</f>
        <v>794432</v>
      </c>
      <c r="K47" s="193">
        <f>'附表5-1政'!K47+'附表5-3-教'!K47+'附表5-2公'!K47+'附表5-4-軍'!K47</f>
        <v>6184</v>
      </c>
      <c r="L47" s="193">
        <f>'附表5-1政'!L47+'附表5-3-教'!L47+'附表5-2公'!L47+'附表5-4-軍'!L47</f>
        <v>7727</v>
      </c>
      <c r="M47" s="193">
        <f>'附表5-1政'!M47+'附表5-3-教'!M47+'附表5-2公'!M47+'附表5-4-軍'!M47</f>
        <v>204</v>
      </c>
      <c r="N47" s="193">
        <f>'附表5-1政'!N47+'附表5-3-教'!N47+'附表5-2公'!N47+'附表5-4-軍'!N47</f>
        <v>1189360</v>
      </c>
      <c r="O47" s="193">
        <f>'附表5-1政'!O47+'附表5-3-教'!O47+'附表5-2公'!O47+'附表5-4-軍'!O47</f>
        <v>30643</v>
      </c>
      <c r="P47" s="193">
        <f>'附表5-1政'!P47+'附表5-3-教'!P47+'附表5-2公'!P47+'附表5-4-軍'!P47</f>
        <v>93491</v>
      </c>
      <c r="Q47" s="193">
        <f>'附表5-1政'!Q47+'附表5-3-教'!Q47+'附表5-2公'!Q47+'附表5-4-軍'!Q47</f>
        <v>71</v>
      </c>
      <c r="R47" s="193">
        <f>'附表5-1政'!R47+'附表5-3-教'!R47+'附表5-2公'!R47+'附表5-4-軍'!R47</f>
        <v>128328</v>
      </c>
      <c r="S47" s="193">
        <f>'附表5-1政'!S47+'附表5-3-教'!S47+'附表5-2公'!S47+'附表5-4-軍'!S47</f>
        <v>367</v>
      </c>
      <c r="T47" s="193">
        <f>'附表5-1政'!T47+'附表5-3-教'!T47+'附表5-2公'!T47+'附表5-4-軍'!T47</f>
        <v>449213</v>
      </c>
      <c r="U47" s="193">
        <f>'附表5-1政'!U47+'附表5-3-教'!U47+'附表5-2公'!U47+'附表5-4-軍'!U47</f>
        <v>16331</v>
      </c>
      <c r="V47" s="193">
        <f>+X47+Z47</f>
        <v>1268661</v>
      </c>
      <c r="W47" s="193">
        <f t="shared" si="30"/>
        <v>7108</v>
      </c>
      <c r="X47" s="193">
        <f>'附表5-1政'!X47+'附表5-3-教'!X47+'附表5-2公'!X47+'附表5-4-軍'!X47</f>
        <v>460756</v>
      </c>
      <c r="Y47" s="193">
        <f>'附表5-1政'!Y47+'附表5-3-教'!Y47+'附表5-2公'!Y47+'附表5-4-軍'!Y47</f>
        <v>585</v>
      </c>
      <c r="Z47" s="193">
        <f>'附表5-1政'!Z47+'附表5-3-教'!Z47+'附表5-2公'!Z47+'附表5-4-軍'!Z47</f>
        <v>807905</v>
      </c>
      <c r="AA47" s="193">
        <f>'附表5-1政'!AA47+'附表5-3-教'!AA47+'附表5-2公'!AA47+'附表5-4-軍'!AA47</f>
        <v>6523</v>
      </c>
      <c r="AB47" s="193">
        <f t="shared" si="29"/>
        <v>452279</v>
      </c>
      <c r="AC47" s="193">
        <f t="shared" si="25"/>
        <v>5216</v>
      </c>
      <c r="AD47" s="193">
        <f>'附表5-1政'!AD47+'附表5-3-教'!AD47+'附表5-2公'!AD47+'附表5-4-軍'!AD47</f>
        <v>399565</v>
      </c>
      <c r="AE47" s="193">
        <f>'附表5-1政'!AE47+'附表5-3-教'!AE47+'附表5-2公'!AE47+'附表5-4-軍'!AE47</f>
        <v>4481</v>
      </c>
      <c r="AF47" s="193">
        <f>'附表5-1政'!AF47+'附表5-3-教'!AF47+'附表5-2公'!AF47+'附表5-4-軍'!AF47</f>
        <v>52714</v>
      </c>
      <c r="AG47" s="193">
        <f>'附表5-1政'!AG47+'附表5-3-教'!AG47+'附表5-2公'!AG47+'附表5-4-軍'!AG47</f>
        <v>735</v>
      </c>
      <c r="AH47" s="156"/>
    </row>
    <row r="48" spans="1:34" s="141" customFormat="1" ht="15.75" customHeight="1">
      <c r="A48" s="271" t="s">
        <v>221</v>
      </c>
      <c r="B48" s="262"/>
      <c r="C48" s="193"/>
      <c r="D48" s="327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56"/>
    </row>
    <row r="49" spans="1:34" s="141" customFormat="1" ht="15.75" customHeight="1">
      <c r="A49" s="231" t="s">
        <v>222</v>
      </c>
      <c r="B49" s="262">
        <f>D49+V49+AB49</f>
        <v>27462530</v>
      </c>
      <c r="C49" s="193">
        <f>E49+W49+AC49</f>
        <v>265238</v>
      </c>
      <c r="D49" s="262">
        <f>F49+H49+J49+N49+P49+L49+R49+T49</f>
        <v>27267201</v>
      </c>
      <c r="E49" s="193">
        <f>G49+I49+K49+O49+Q49+M49+S49+U49</f>
        <v>263278</v>
      </c>
      <c r="F49" s="193">
        <f>'附表5-1政'!F49+'附表5-3-教'!F49+'附表5-2公'!F49+'附表5-4-軍'!F49</f>
        <v>334029</v>
      </c>
      <c r="G49" s="193">
        <f>'附表5-1政'!G49+'附表5-3-教'!G49+'附表5-2公'!G49+'附表5-4-軍'!G49</f>
        <v>1089</v>
      </c>
      <c r="H49" s="193">
        <f>'附表5-1政'!H49+'附表5-3-教'!H49+'附表5-2公'!H49+'附表5-4-軍'!H49</f>
        <v>26041446</v>
      </c>
      <c r="I49" s="193">
        <f>'附表5-1政'!I49+'附表5-3-教'!I49+'附表5-2公'!I49+'附表5-4-軍'!I49</f>
        <v>237664</v>
      </c>
      <c r="J49" s="193">
        <f>'附表5-1政'!J49+'附表5-3-教'!J49+'附表5-2公'!J49+'附表5-4-軍'!J49</f>
        <v>71788</v>
      </c>
      <c r="K49" s="193">
        <f>'附表5-1政'!K49+'附表5-3-教'!K49+'附表5-2公'!K49+'附表5-4-軍'!K49</f>
        <v>497</v>
      </c>
      <c r="L49" s="193">
        <f>'附表5-1政'!L49+'附表5-3-教'!L49+'附表5-2公'!L49+'附表5-4-軍'!L49</f>
        <v>4178</v>
      </c>
      <c r="M49" s="193">
        <f>'附表5-1政'!M49+'附表5-3-教'!M49+'附表5-2公'!M49+'附表5-4-軍'!M49</f>
        <v>101</v>
      </c>
      <c r="N49" s="193">
        <f>'附表5-1政'!N49+'附表5-3-教'!N49+'附表5-2公'!N49+'附表5-4-軍'!N49</f>
        <v>547333</v>
      </c>
      <c r="O49" s="193">
        <f>'附表5-1政'!O49+'附表5-3-教'!O49+'附表5-2公'!O49+'附表5-4-軍'!O49</f>
        <v>15121</v>
      </c>
      <c r="P49" s="193">
        <f>'附表5-1政'!P49+'附表5-3-教'!P49+'附表5-2公'!P49+'附表5-4-軍'!P49</f>
        <v>8129</v>
      </c>
      <c r="Q49" s="193">
        <f>'附表5-1政'!Q49+'附表5-3-教'!Q49+'附表5-2公'!Q49+'附表5-4-軍'!Q49</f>
        <v>5</v>
      </c>
      <c r="R49" s="193">
        <f>'附表5-1政'!R49+'附表5-3-教'!R49+'附表5-2公'!R49+'附表5-4-軍'!R49</f>
        <v>9736</v>
      </c>
      <c r="S49" s="193">
        <f>'附表5-1政'!S49+'附表5-3-教'!S49+'附表5-2公'!S49+'附表5-4-軍'!S49</f>
        <v>33</v>
      </c>
      <c r="T49" s="193">
        <f>'附表5-1政'!T49+'附表5-3-教'!T49+'附表5-2公'!T49+'附表5-4-軍'!T49</f>
        <v>250562</v>
      </c>
      <c r="U49" s="193">
        <f>'附表5-1政'!U49+'附表5-3-教'!U49+'附表5-2公'!U49+'附表5-4-軍'!U49</f>
        <v>8768</v>
      </c>
      <c r="V49" s="193">
        <f>+X49+Z49</f>
        <v>150348</v>
      </c>
      <c r="W49" s="193">
        <f>+Y49+AA49</f>
        <v>1414</v>
      </c>
      <c r="X49" s="193">
        <f>'附表5-1政'!X49+'附表5-3-教'!X49+'附表5-2公'!X49+'附表5-4-軍'!X49</f>
        <v>45938</v>
      </c>
      <c r="Y49" s="193">
        <f>'附表5-1政'!Y49+'附表5-3-教'!Y49+'附表5-2公'!Y49+'附表5-4-軍'!Y49</f>
        <v>63</v>
      </c>
      <c r="Z49" s="193">
        <f>'附表5-1政'!Z49+'附表5-3-教'!Z49+'附表5-2公'!Z49+'附表5-4-軍'!Z49</f>
        <v>104410</v>
      </c>
      <c r="AA49" s="193">
        <f>'附表5-1政'!AA49+'附表5-3-教'!AA49+'附表5-2公'!AA49+'附表5-4-軍'!AA49</f>
        <v>1351</v>
      </c>
      <c r="AB49" s="193">
        <f>AD49+AF49</f>
        <v>44981</v>
      </c>
      <c r="AC49" s="193">
        <f>AE49+AG49</f>
        <v>546</v>
      </c>
      <c r="AD49" s="193">
        <f>'附表5-1政'!AD49+'附表5-3-教'!AD49+'附表5-2公'!AD49+'附表5-4-軍'!AD49</f>
        <v>27775</v>
      </c>
      <c r="AE49" s="193">
        <f>'附表5-1政'!AE49+'附表5-3-教'!AE49+'附表5-2公'!AE49+'附表5-4-軍'!AE49</f>
        <v>388</v>
      </c>
      <c r="AF49" s="193">
        <f>'附表5-1政'!AF49+'附表5-3-教'!AF49+'附表5-2公'!AF49+'附表5-4-軍'!AF49</f>
        <v>17206</v>
      </c>
      <c r="AG49" s="193">
        <f>'附表5-1政'!AG49+'附表5-3-教'!AG49+'附表5-2公'!AG49+'附表5-4-軍'!AG49</f>
        <v>158</v>
      </c>
      <c r="AH49" s="156"/>
    </row>
    <row r="50" spans="1:34" s="141" customFormat="1" ht="15.75" customHeight="1">
      <c r="A50" s="231" t="s">
        <v>224</v>
      </c>
      <c r="B50" s="262">
        <f aca="true" t="shared" si="31" ref="B50:B60">D50+V50+AB50</f>
        <v>641314</v>
      </c>
      <c r="C50" s="193">
        <f aca="true" t="shared" si="32" ref="C50:C60">E50+W50+AC50</f>
        <v>3503</v>
      </c>
      <c r="D50" s="262">
        <f aca="true" t="shared" si="33" ref="D50:D60">F50+H50+J50+N50+P50+L50+R50+T50</f>
        <v>596750</v>
      </c>
      <c r="E50" s="193">
        <f aca="true" t="shared" si="34" ref="E50:E60">G50+I50+K50+O50+Q50+M50+S50+U50</f>
        <v>3091</v>
      </c>
      <c r="F50" s="193">
        <f>'附表5-1政'!F50+'附表5-3-教'!F50+'附表5-2公'!F50+'附表5-4-軍'!F50</f>
        <v>260588</v>
      </c>
      <c r="G50" s="193">
        <f>'附表5-1政'!G50+'附表5-3-教'!G50+'附表5-2公'!G50+'附表5-4-軍'!G50</f>
        <v>766</v>
      </c>
      <c r="H50" s="193">
        <f>'附表5-1政'!H50+'附表5-3-教'!H50+'附表5-2公'!H50+'附表5-4-軍'!H50</f>
        <v>251192</v>
      </c>
      <c r="I50" s="193">
        <f>'附表5-1政'!I50+'附表5-3-教'!I50+'附表5-2公'!I50+'附表5-4-軍'!I50</f>
        <v>1670</v>
      </c>
      <c r="J50" s="193">
        <f>'附表5-1政'!J50+'附表5-3-教'!J50+'附表5-2公'!J50+'附表5-4-軍'!J50</f>
        <v>56058</v>
      </c>
      <c r="K50" s="193">
        <f>'附表5-1政'!K50+'附表5-3-教'!K50+'附表5-2公'!K50+'附表5-4-軍'!K50</f>
        <v>495</v>
      </c>
      <c r="L50" s="193">
        <f>'附表5-1政'!L50+'附表5-3-教'!L50+'附表5-2公'!L50+'附表5-4-軍'!L50</f>
        <v>0</v>
      </c>
      <c r="M50" s="193">
        <f>'附表5-1政'!M50+'附表5-3-教'!M50+'附表5-2公'!M50+'附表5-4-軍'!M50</f>
        <v>0</v>
      </c>
      <c r="N50" s="193">
        <f>'附表5-1政'!N50+'附表5-3-教'!N50+'附表5-2公'!N50+'附表5-4-軍'!N50</f>
        <v>9823</v>
      </c>
      <c r="O50" s="193">
        <f>'附表5-1政'!O50+'附表5-3-教'!O50+'附表5-2公'!O50+'附表5-4-軍'!O50</f>
        <v>25</v>
      </c>
      <c r="P50" s="193">
        <f>'附表5-1政'!P50+'附表5-3-教'!P50+'附表5-2公'!P50+'附表5-4-軍'!P50</f>
        <v>2949</v>
      </c>
      <c r="Q50" s="193">
        <f>'附表5-1政'!Q50+'附表5-3-教'!Q50+'附表5-2公'!Q50+'附表5-4-軍'!Q50</f>
        <v>7</v>
      </c>
      <c r="R50" s="193">
        <f>'附表5-1政'!R50+'附表5-3-教'!R50+'附表5-2公'!R50+'附表5-4-軍'!R50</f>
        <v>13185</v>
      </c>
      <c r="S50" s="193">
        <f>'附表5-1政'!S50+'附表5-3-教'!S50+'附表5-2公'!S50+'附表5-4-軍'!S50</f>
        <v>28</v>
      </c>
      <c r="T50" s="193">
        <f>'附表5-1政'!T50+'附表5-3-教'!T50+'附表5-2公'!T50+'附表5-4-軍'!T50</f>
        <v>2955</v>
      </c>
      <c r="U50" s="193">
        <f>'附表5-1政'!U50+'附表5-3-教'!U50+'附表5-2公'!U50+'附表5-4-軍'!U50</f>
        <v>100</v>
      </c>
      <c r="V50" s="193">
        <f aca="true" t="shared" si="35" ref="V50:V60">+X50+Z50</f>
        <v>22189</v>
      </c>
      <c r="W50" s="193">
        <f aca="true" t="shared" si="36" ref="W50:W60">+Y50+AA50</f>
        <v>59</v>
      </c>
      <c r="X50" s="193">
        <f>'附表5-1政'!X50+'附表5-3-教'!X50+'附表5-2公'!X50+'附表5-4-軍'!X50</f>
        <v>19340</v>
      </c>
      <c r="Y50" s="193">
        <f>'附表5-1政'!Y50+'附表5-3-教'!Y50+'附表5-2公'!Y50+'附表5-4-軍'!Y50</f>
        <v>33</v>
      </c>
      <c r="Z50" s="193">
        <f>'附表5-1政'!Z50+'附表5-3-教'!Z50+'附表5-2公'!Z50+'附表5-4-軍'!Z50</f>
        <v>2849</v>
      </c>
      <c r="AA50" s="193">
        <f>'附表5-1政'!AA50+'附表5-3-教'!AA50+'附表5-2公'!AA50+'附表5-4-軍'!AA50</f>
        <v>26</v>
      </c>
      <c r="AB50" s="193">
        <f aca="true" t="shared" si="37" ref="AB50:AB60">AD50+AF50</f>
        <v>22375</v>
      </c>
      <c r="AC50" s="193">
        <f aca="true" t="shared" si="38" ref="AC50:AC60">AE50+AG50</f>
        <v>353</v>
      </c>
      <c r="AD50" s="193">
        <f>'附表5-1政'!AD50+'附表5-3-教'!AD50+'附表5-2公'!AD50+'附表5-4-軍'!AD50</f>
        <v>18817</v>
      </c>
      <c r="AE50" s="193">
        <f>'附表5-1政'!AE50+'附表5-3-教'!AE50+'附表5-2公'!AE50+'附表5-4-軍'!AE50</f>
        <v>313</v>
      </c>
      <c r="AF50" s="193">
        <f>'附表5-1政'!AF50+'附表5-3-教'!AF50+'附表5-2公'!AF50+'附表5-4-軍'!AF50</f>
        <v>3558</v>
      </c>
      <c r="AG50" s="193">
        <f>'附表5-1政'!AG50+'附表5-3-教'!AG50+'附表5-2公'!AG50+'附表5-4-軍'!AG50</f>
        <v>40</v>
      </c>
      <c r="AH50" s="156"/>
    </row>
    <row r="51" spans="1:34" s="141" customFormat="1" ht="15.75" customHeight="1">
      <c r="A51" s="231" t="s">
        <v>226</v>
      </c>
      <c r="B51" s="262">
        <f t="shared" si="31"/>
        <v>722953</v>
      </c>
      <c r="C51" s="193">
        <f t="shared" si="32"/>
        <v>4102</v>
      </c>
      <c r="D51" s="262">
        <f t="shared" si="33"/>
        <v>622227</v>
      </c>
      <c r="E51" s="193">
        <f t="shared" si="34"/>
        <v>3549</v>
      </c>
      <c r="F51" s="193">
        <f>'附表5-1政'!F51+'附表5-3-教'!F51+'附表5-2公'!F51+'附表5-4-軍'!F51</f>
        <v>379594</v>
      </c>
      <c r="G51" s="193">
        <f>'附表5-1政'!G51+'附表5-3-教'!G51+'附表5-2公'!G51+'附表5-4-軍'!G51</f>
        <v>1295</v>
      </c>
      <c r="H51" s="193">
        <f>'附表5-1政'!H51+'附表5-3-教'!H51+'附表5-2公'!H51+'附表5-4-軍'!H51</f>
        <v>173894</v>
      </c>
      <c r="I51" s="193">
        <f>'附表5-1政'!I51+'附表5-3-教'!I51+'附表5-2公'!I51+'附表5-4-軍'!I51</f>
        <v>1721</v>
      </c>
      <c r="J51" s="193">
        <f>'附表5-1政'!J51+'附表5-3-教'!J51+'附表5-2公'!J51+'附表5-4-軍'!J51</f>
        <v>36466</v>
      </c>
      <c r="K51" s="193">
        <f>'附表5-1政'!K51+'附表5-3-教'!K51+'附表5-2公'!K51+'附表5-4-軍'!K51</f>
        <v>409</v>
      </c>
      <c r="L51" s="193">
        <f>'附表5-1政'!L51+'附表5-3-教'!L51+'附表5-2公'!L51+'附表5-4-軍'!L51</f>
        <v>0</v>
      </c>
      <c r="M51" s="193">
        <f>'附表5-1政'!M51+'附表5-3-教'!M51+'附表5-2公'!M51+'附表5-4-軍'!M51</f>
        <v>0</v>
      </c>
      <c r="N51" s="193">
        <f>'附表5-1政'!N51+'附表5-3-教'!N51+'附表5-2公'!N51+'附表5-4-軍'!N51</f>
        <v>16557</v>
      </c>
      <c r="O51" s="193">
        <f>'附表5-1政'!O51+'附表5-3-教'!O51+'附表5-2公'!O51+'附表5-4-軍'!O51</f>
        <v>35</v>
      </c>
      <c r="P51" s="193">
        <f>'附表5-1政'!P51+'附表5-3-教'!P51+'附表5-2公'!P51+'附表5-4-軍'!P51</f>
        <v>1440</v>
      </c>
      <c r="Q51" s="193">
        <f>'附表5-1政'!Q51+'附表5-3-教'!Q51+'附表5-2公'!Q51+'附表5-4-軍'!Q51</f>
        <v>4</v>
      </c>
      <c r="R51" s="193">
        <f>'附表5-1政'!R51+'附表5-3-教'!R51+'附表5-2公'!R51+'附表5-4-軍'!R51</f>
        <v>13369</v>
      </c>
      <c r="S51" s="193">
        <f>'附表5-1政'!S51+'附表5-3-教'!S51+'附表5-2公'!S51+'附表5-4-軍'!S51</f>
        <v>31</v>
      </c>
      <c r="T51" s="193">
        <f>'附表5-1政'!T51+'附表5-3-教'!T51+'附表5-2公'!T51+'附表5-4-軍'!T51</f>
        <v>907</v>
      </c>
      <c r="U51" s="193">
        <f>'附表5-1政'!U51+'附表5-3-教'!U51+'附表5-2公'!U51+'附表5-4-軍'!U51</f>
        <v>54</v>
      </c>
      <c r="V51" s="193">
        <f t="shared" si="35"/>
        <v>59805</v>
      </c>
      <c r="W51" s="193">
        <f t="shared" si="36"/>
        <v>121</v>
      </c>
      <c r="X51" s="193">
        <f>'附表5-1政'!X51+'附表5-3-教'!X51+'附表5-2公'!X51+'附表5-4-軍'!X51</f>
        <v>51976</v>
      </c>
      <c r="Y51" s="193">
        <f>'附表5-1政'!Y51+'附表5-3-教'!Y51+'附表5-2公'!Y51+'附表5-4-軍'!Y51</f>
        <v>67</v>
      </c>
      <c r="Z51" s="193">
        <f>'附表5-1政'!Z51+'附表5-3-教'!Z51+'附表5-2公'!Z51+'附表5-4-軍'!Z51</f>
        <v>7829</v>
      </c>
      <c r="AA51" s="193">
        <f>'附表5-1政'!AA51+'附表5-3-教'!AA51+'附表5-2公'!AA51+'附表5-4-軍'!AA51</f>
        <v>54</v>
      </c>
      <c r="AB51" s="193">
        <f t="shared" si="37"/>
        <v>40921</v>
      </c>
      <c r="AC51" s="193">
        <f t="shared" si="38"/>
        <v>432</v>
      </c>
      <c r="AD51" s="193">
        <f>'附表5-1政'!AD51+'附表5-3-教'!AD51+'附表5-2公'!AD51+'附表5-4-軍'!AD51</f>
        <v>35778</v>
      </c>
      <c r="AE51" s="193">
        <f>'附表5-1政'!AE51+'附表5-3-教'!AE51+'附表5-2公'!AE51+'附表5-4-軍'!AE51</f>
        <v>376</v>
      </c>
      <c r="AF51" s="193">
        <f>'附表5-1政'!AF51+'附表5-3-教'!AF51+'附表5-2公'!AF51+'附表5-4-軍'!AF51</f>
        <v>5143</v>
      </c>
      <c r="AG51" s="193">
        <f>'附表5-1政'!AG51+'附表5-3-教'!AG51+'附表5-2公'!AG51+'附表5-4-軍'!AG51</f>
        <v>56</v>
      </c>
      <c r="AH51" s="156"/>
    </row>
    <row r="52" spans="1:34" s="141" customFormat="1" ht="15.75" customHeight="1">
      <c r="A52" s="231" t="s">
        <v>227</v>
      </c>
      <c r="B52" s="262">
        <f t="shared" si="31"/>
        <v>537354</v>
      </c>
      <c r="C52" s="193">
        <f t="shared" si="32"/>
        <v>2583</v>
      </c>
      <c r="D52" s="262">
        <f t="shared" si="33"/>
        <v>438369</v>
      </c>
      <c r="E52" s="193">
        <f t="shared" si="34"/>
        <v>2034</v>
      </c>
      <c r="F52" s="193">
        <f>'附表5-1政'!F52+'附表5-3-教'!F52+'附表5-2公'!F52+'附表5-4-軍'!F52</f>
        <v>348269</v>
      </c>
      <c r="G52" s="193">
        <f>'附表5-1政'!G52+'附表5-3-教'!G52+'附表5-2公'!G52+'附表5-4-軍'!G52</f>
        <v>1126</v>
      </c>
      <c r="H52" s="193">
        <f>'附表5-1政'!H52+'附表5-3-教'!H52+'附表5-2公'!H52+'附表5-4-軍'!H52</f>
        <v>44371</v>
      </c>
      <c r="I52" s="193">
        <f>'附表5-1政'!I52+'附表5-3-教'!I52+'附表5-2公'!I52+'附表5-4-軍'!I52</f>
        <v>637</v>
      </c>
      <c r="J52" s="193">
        <f>'附表5-1政'!J52+'附表5-3-教'!J52+'附表5-2公'!J52+'附表5-4-軍'!J52</f>
        <v>25922</v>
      </c>
      <c r="K52" s="193">
        <f>'附表5-1政'!K52+'附表5-3-教'!K52+'附表5-2公'!K52+'附表5-4-軍'!K52</f>
        <v>216</v>
      </c>
      <c r="L52" s="193">
        <f>'附表5-1政'!L52+'附表5-3-教'!L52+'附表5-2公'!L52+'附表5-4-軍'!L52</f>
        <v>0</v>
      </c>
      <c r="M52" s="193">
        <f>'附表5-1政'!M52+'附表5-3-教'!M52+'附表5-2公'!M52+'附表5-4-軍'!M52</f>
        <v>0</v>
      </c>
      <c r="N52" s="193">
        <f>'附表5-1政'!N52+'附表5-3-教'!N52+'附表5-2公'!N52+'附表5-4-軍'!N52</f>
        <v>1611</v>
      </c>
      <c r="O52" s="193">
        <f>'附表5-1政'!O52+'附表5-3-教'!O52+'附表5-2公'!O52+'附表5-4-軍'!O52</f>
        <v>8</v>
      </c>
      <c r="P52" s="193">
        <f>'附表5-1政'!P52+'附表5-3-教'!P52+'附表5-2公'!P52+'附表5-4-軍'!P52</f>
        <v>5648</v>
      </c>
      <c r="Q52" s="193">
        <f>'附表5-1政'!Q52+'附表5-3-教'!Q52+'附表5-2公'!Q52+'附表5-4-軍'!Q52</f>
        <v>6</v>
      </c>
      <c r="R52" s="193">
        <f>'附表5-1政'!R52+'附表5-3-教'!R52+'附表5-2公'!R52+'附表5-4-軍'!R52</f>
        <v>12235</v>
      </c>
      <c r="S52" s="193">
        <f>'附表5-1政'!S52+'附表5-3-教'!S52+'附表5-2公'!S52+'附表5-4-軍'!S52</f>
        <v>22</v>
      </c>
      <c r="T52" s="193">
        <f>'附表5-1政'!T52+'附表5-3-教'!T52+'附表5-2公'!T52+'附表5-4-軍'!T52</f>
        <v>313</v>
      </c>
      <c r="U52" s="193">
        <f>'附表5-1政'!U52+'附表5-3-教'!U52+'附表5-2公'!U52+'附表5-4-軍'!U52</f>
        <v>19</v>
      </c>
      <c r="V52" s="193">
        <f t="shared" si="35"/>
        <v>53136</v>
      </c>
      <c r="W52" s="193">
        <f t="shared" si="36"/>
        <v>86</v>
      </c>
      <c r="X52" s="193">
        <f>'附表5-1政'!X52+'附表5-3-教'!X52+'附表5-2公'!X52+'附表5-4-軍'!X52</f>
        <v>46366</v>
      </c>
      <c r="Y52" s="193">
        <f>'附表5-1政'!Y52+'附表5-3-教'!Y52+'附表5-2公'!Y52+'附表5-4-軍'!Y52</f>
        <v>44</v>
      </c>
      <c r="Z52" s="193">
        <f>'附表5-1政'!Z52+'附表5-3-教'!Z52+'附表5-2公'!Z52+'附表5-4-軍'!Z52</f>
        <v>6770</v>
      </c>
      <c r="AA52" s="193">
        <f>'附表5-1政'!AA52+'附表5-3-教'!AA52+'附表5-2公'!AA52+'附表5-4-軍'!AA52</f>
        <v>42</v>
      </c>
      <c r="AB52" s="193">
        <f t="shared" si="37"/>
        <v>45849</v>
      </c>
      <c r="AC52" s="193">
        <f t="shared" si="38"/>
        <v>463</v>
      </c>
      <c r="AD52" s="193">
        <f>'附表5-1政'!AD52+'附表5-3-教'!AD52+'附表5-2公'!AD52+'附表5-4-軍'!AD52</f>
        <v>45197</v>
      </c>
      <c r="AE52" s="193">
        <f>'附表5-1政'!AE52+'附表5-3-教'!AE52+'附表5-2公'!AE52+'附表5-4-軍'!AE52</f>
        <v>447</v>
      </c>
      <c r="AF52" s="193">
        <f>'附表5-1政'!AF52+'附表5-3-教'!AF52+'附表5-2公'!AF52+'附表5-4-軍'!AF52</f>
        <v>652</v>
      </c>
      <c r="AG52" s="193">
        <f>'附表5-1政'!AG52+'附表5-3-教'!AG52+'附表5-2公'!AG52+'附表5-4-軍'!AG52</f>
        <v>16</v>
      </c>
      <c r="AH52" s="156"/>
    </row>
    <row r="53" spans="1:34" s="141" customFormat="1" ht="15.75" customHeight="1">
      <c r="A53" s="231" t="s">
        <v>228</v>
      </c>
      <c r="B53" s="262">
        <f t="shared" si="31"/>
        <v>307002</v>
      </c>
      <c r="C53" s="193">
        <f t="shared" si="32"/>
        <v>1454</v>
      </c>
      <c r="D53" s="262">
        <f t="shared" si="33"/>
        <v>210467</v>
      </c>
      <c r="E53" s="193">
        <f t="shared" si="34"/>
        <v>1004</v>
      </c>
      <c r="F53" s="193">
        <f>'附表5-1政'!F53+'附表5-3-教'!F53+'附表5-2公'!F53+'附表5-4-軍'!F53</f>
        <v>164219</v>
      </c>
      <c r="G53" s="193">
        <f>'附表5-1政'!G53+'附表5-3-教'!G53+'附表5-2公'!G53+'附表5-4-軍'!G53</f>
        <v>621</v>
      </c>
      <c r="H53" s="193">
        <f>'附表5-1政'!H53+'附表5-3-教'!H53+'附表5-2公'!H53+'附表5-4-軍'!H53</f>
        <v>9272</v>
      </c>
      <c r="I53" s="193">
        <f>'附表5-1政'!I53+'附表5-3-教'!I53+'附表5-2公'!I53+'附表5-4-軍'!I53</f>
        <v>217</v>
      </c>
      <c r="J53" s="193">
        <f>'附表5-1政'!J53+'附表5-3-教'!J53+'附表5-2公'!J53+'附表5-4-軍'!J53</f>
        <v>11567</v>
      </c>
      <c r="K53" s="193">
        <f>'附表5-1政'!K53+'附表5-3-教'!K53+'附表5-2公'!K53+'附表5-4-軍'!K53</f>
        <v>98</v>
      </c>
      <c r="L53" s="193">
        <f>'附表5-1政'!L53+'附表5-3-教'!L53+'附表5-2公'!L53+'附表5-4-軍'!L53</f>
        <v>0</v>
      </c>
      <c r="M53" s="193">
        <f>'附表5-1政'!M53+'附表5-3-教'!M53+'附表5-2公'!M53+'附表5-4-軍'!M53</f>
        <v>0</v>
      </c>
      <c r="N53" s="193">
        <f>'附表5-1政'!N53+'附表5-3-教'!N53+'附表5-2公'!N53+'附表5-4-軍'!N53</f>
        <v>4457</v>
      </c>
      <c r="O53" s="193">
        <f>'附表5-1政'!O53+'附表5-3-教'!O53+'附表5-2公'!O53+'附表5-4-軍'!O53</f>
        <v>8</v>
      </c>
      <c r="P53" s="193">
        <f>'附表5-1政'!P53+'附表5-3-教'!P53+'附表5-2公'!P53+'附表5-4-軍'!P53</f>
        <v>7082</v>
      </c>
      <c r="Q53" s="193">
        <f>'附表5-1政'!Q53+'附表5-3-教'!Q53+'附表5-2公'!Q53+'附表5-4-軍'!Q53</f>
        <v>8</v>
      </c>
      <c r="R53" s="193">
        <f>'附表5-1政'!R53+'附表5-3-教'!R53+'附表5-2公'!R53+'附表5-4-軍'!R53</f>
        <v>13721</v>
      </c>
      <c r="S53" s="193">
        <f>'附表5-1政'!S53+'附表5-3-教'!S53+'附表5-2公'!S53+'附表5-4-軍'!S53</f>
        <v>39</v>
      </c>
      <c r="T53" s="193">
        <f>'附表5-1政'!T53+'附表5-3-教'!T53+'附表5-2公'!T53+'附表5-4-軍'!T53</f>
        <v>149</v>
      </c>
      <c r="U53" s="193">
        <f>'附表5-1政'!U53+'附表5-3-教'!U53+'附表5-2公'!U53+'附表5-4-軍'!U53</f>
        <v>13</v>
      </c>
      <c r="V53" s="193">
        <f t="shared" si="35"/>
        <v>57985</v>
      </c>
      <c r="W53" s="193">
        <f t="shared" si="36"/>
        <v>101</v>
      </c>
      <c r="X53" s="193">
        <f>'附表5-1政'!X53+'附表5-3-教'!X53+'附表5-2公'!X53+'附表5-4-軍'!X53</f>
        <v>49535</v>
      </c>
      <c r="Y53" s="193">
        <f>'附表5-1政'!Y53+'附表5-3-教'!Y53+'附表5-2公'!Y53+'附表5-4-軍'!Y53</f>
        <v>56</v>
      </c>
      <c r="Z53" s="193">
        <f>'附表5-1政'!Z53+'附表5-3-教'!Z53+'附表5-2公'!Z53+'附表5-4-軍'!Z53</f>
        <v>8450</v>
      </c>
      <c r="AA53" s="193">
        <f>'附表5-1政'!AA53+'附表5-3-教'!AA53+'附表5-2公'!AA53+'附表5-4-軍'!AA53</f>
        <v>45</v>
      </c>
      <c r="AB53" s="193">
        <f t="shared" si="37"/>
        <v>38550</v>
      </c>
      <c r="AC53" s="193">
        <f t="shared" si="38"/>
        <v>349</v>
      </c>
      <c r="AD53" s="193">
        <f>'附表5-1政'!AD53+'附表5-3-教'!AD53+'附表5-2公'!AD53+'附表5-4-軍'!AD53</f>
        <v>36317</v>
      </c>
      <c r="AE53" s="193">
        <f>'附表5-1政'!AE53+'附表5-3-教'!AE53+'附表5-2公'!AE53+'附表5-4-軍'!AE53</f>
        <v>337</v>
      </c>
      <c r="AF53" s="193">
        <f>'附表5-1政'!AF53+'附表5-3-教'!AF53+'附表5-2公'!AF53+'附表5-4-軍'!AF53</f>
        <v>2233</v>
      </c>
      <c r="AG53" s="193">
        <f>'附表5-1政'!AG53+'附表5-3-教'!AG53+'附表5-2公'!AG53+'附表5-4-軍'!AG53</f>
        <v>12</v>
      </c>
      <c r="AH53" s="156"/>
    </row>
    <row r="54" spans="1:34" s="141" customFormat="1" ht="15.75" customHeight="1">
      <c r="A54" s="231" t="s">
        <v>230</v>
      </c>
      <c r="B54" s="262">
        <f t="shared" si="31"/>
        <v>400815</v>
      </c>
      <c r="C54" s="193">
        <f t="shared" si="32"/>
        <v>2932</v>
      </c>
      <c r="D54" s="262">
        <f t="shared" si="33"/>
        <v>304856</v>
      </c>
      <c r="E54" s="193">
        <f t="shared" si="34"/>
        <v>2430</v>
      </c>
      <c r="F54" s="193">
        <f>'附表5-1政'!F54+'附表5-3-教'!F54+'附表5-2公'!F54+'附表5-4-軍'!F54</f>
        <v>229563</v>
      </c>
      <c r="G54" s="193">
        <f>'附表5-1政'!G54+'附表5-3-教'!G54+'附表5-2公'!G54+'附表5-4-軍'!G54</f>
        <v>613</v>
      </c>
      <c r="H54" s="193">
        <f>'附表5-1政'!H54+'附表5-3-教'!H54+'附表5-2公'!H54+'附表5-4-軍'!H54</f>
        <v>33584</v>
      </c>
      <c r="I54" s="193">
        <f>'附表5-1政'!I54+'附表5-3-教'!I54+'附表5-2公'!I54+'附表5-4-軍'!I54</f>
        <v>1482</v>
      </c>
      <c r="J54" s="193">
        <f>'附表5-1政'!J54+'附表5-3-教'!J54+'附表5-2公'!J54+'附表5-4-軍'!J54</f>
        <v>17715</v>
      </c>
      <c r="K54" s="193">
        <f>'附表5-1政'!K54+'附表5-3-教'!K54+'附表5-2公'!K54+'附表5-4-軍'!K54</f>
        <v>258</v>
      </c>
      <c r="L54" s="193">
        <f>'附表5-1政'!L54+'附表5-3-教'!L54+'附表5-2公'!L54+'附表5-4-軍'!L54</f>
        <v>0</v>
      </c>
      <c r="M54" s="193">
        <f>'附表5-1政'!M54+'附表5-3-教'!M54+'附表5-2公'!M54+'附表5-4-軍'!M54</f>
        <v>0</v>
      </c>
      <c r="N54" s="193">
        <f>'附表5-1政'!N54+'附表5-3-教'!N54+'附表5-2公'!N54+'附表5-4-軍'!N54</f>
        <v>6620</v>
      </c>
      <c r="O54" s="193">
        <f>'附表5-1政'!O54+'附表5-3-教'!O54+'附表5-2公'!O54+'附表5-4-軍'!O54</f>
        <v>21</v>
      </c>
      <c r="P54" s="193">
        <f>'附表5-1政'!P54+'附表5-3-教'!P54+'附表5-2公'!P54+'附表5-4-軍'!P54</f>
        <v>8238</v>
      </c>
      <c r="Q54" s="193">
        <f>'附表5-1政'!Q54+'附表5-3-教'!Q54+'附表5-2公'!Q54+'附表5-4-軍'!Q54</f>
        <v>8</v>
      </c>
      <c r="R54" s="193">
        <f>'附表5-1政'!R54+'附表5-3-教'!R54+'附表5-2公'!R54+'附表5-4-軍'!R54</f>
        <v>8905</v>
      </c>
      <c r="S54" s="193">
        <f>'附表5-1政'!S54+'附表5-3-教'!S54+'附表5-2公'!S54+'附表5-4-軍'!S54</f>
        <v>33</v>
      </c>
      <c r="T54" s="193">
        <f>'附表5-1政'!T54+'附表5-3-教'!T54+'附表5-2公'!T54+'附表5-4-軍'!T54</f>
        <v>231</v>
      </c>
      <c r="U54" s="193">
        <f>'附表5-1政'!U54+'附表5-3-教'!U54+'附表5-2公'!U54+'附表5-4-軍'!U54</f>
        <v>15</v>
      </c>
      <c r="V54" s="193">
        <f t="shared" si="35"/>
        <v>50993</v>
      </c>
      <c r="W54" s="193">
        <f t="shared" si="36"/>
        <v>87</v>
      </c>
      <c r="X54" s="193">
        <f>'附表5-1政'!X54+'附表5-3-教'!X54+'附表5-2公'!X54+'附表5-4-軍'!X54</f>
        <v>44919</v>
      </c>
      <c r="Y54" s="193">
        <f>'附表5-1政'!Y54+'附表5-3-教'!Y54+'附表5-2公'!Y54+'附表5-4-軍'!Y54</f>
        <v>48</v>
      </c>
      <c r="Z54" s="193">
        <f>'附表5-1政'!Z54+'附表5-3-教'!Z54+'附表5-2公'!Z54+'附表5-4-軍'!Z54</f>
        <v>6074</v>
      </c>
      <c r="AA54" s="193">
        <f>'附表5-1政'!AA54+'附表5-3-教'!AA54+'附表5-2公'!AA54+'附表5-4-軍'!AA54</f>
        <v>39</v>
      </c>
      <c r="AB54" s="193">
        <f t="shared" si="37"/>
        <v>44966</v>
      </c>
      <c r="AC54" s="193">
        <f t="shared" si="38"/>
        <v>415</v>
      </c>
      <c r="AD54" s="193">
        <f>'附表5-1政'!AD54+'附表5-3-教'!AD54+'附表5-2公'!AD54+'附表5-4-軍'!AD54</f>
        <v>38507</v>
      </c>
      <c r="AE54" s="193">
        <f>'附表5-1政'!AE54+'附表5-3-教'!AE54+'附表5-2公'!AE54+'附表5-4-軍'!AE54</f>
        <v>333</v>
      </c>
      <c r="AF54" s="193">
        <f>'附表5-1政'!AF54+'附表5-3-教'!AF54+'附表5-2公'!AF54+'附表5-4-軍'!AF54</f>
        <v>6459</v>
      </c>
      <c r="AG54" s="193">
        <f>'附表5-1政'!AG54+'附表5-3-教'!AG54+'附表5-2公'!AG54+'附表5-4-軍'!AG54</f>
        <v>82</v>
      </c>
      <c r="AH54" s="156"/>
    </row>
    <row r="55" spans="1:34" s="141" customFormat="1" ht="15.75" customHeight="1">
      <c r="A55" s="231" t="s">
        <v>231</v>
      </c>
      <c r="B55" s="262">
        <f t="shared" si="31"/>
        <v>29444844</v>
      </c>
      <c r="C55" s="193">
        <f t="shared" si="32"/>
        <v>275859</v>
      </c>
      <c r="D55" s="262">
        <f t="shared" si="33"/>
        <v>28633219</v>
      </c>
      <c r="E55" s="193">
        <f t="shared" si="34"/>
        <v>270541</v>
      </c>
      <c r="F55" s="193">
        <f>'附表5-1政'!F55+'附表5-3-教'!F55+'附表5-2公'!F55+'附表5-4-軍'!F55</f>
        <v>390809</v>
      </c>
      <c r="G55" s="193">
        <f>'附表5-1政'!G55+'附表5-3-教'!G55+'附表5-2公'!G55+'附表5-4-軍'!G55</f>
        <v>891</v>
      </c>
      <c r="H55" s="193">
        <f>'附表5-1政'!H55+'附表5-3-教'!H55+'附表5-2公'!H55+'附表5-4-軍'!H55</f>
        <v>27316986</v>
      </c>
      <c r="I55" s="193">
        <f>'附表5-1政'!I55+'附表5-3-教'!I55+'附表5-2公'!I55+'附表5-4-軍'!I55</f>
        <v>244407</v>
      </c>
      <c r="J55" s="193">
        <f>'附表5-1政'!J55+'附表5-3-教'!J55+'附表5-2公'!J55+'附表5-4-軍'!J55</f>
        <v>75739</v>
      </c>
      <c r="K55" s="193">
        <f>'附表5-1政'!K55+'附表5-3-教'!K55+'附表5-2公'!K55+'附表5-4-軍'!K55</f>
        <v>613</v>
      </c>
      <c r="L55" s="193">
        <f>'附表5-1政'!L55+'附表5-3-教'!L55+'附表5-2公'!L55+'附表5-4-軍'!L55</f>
        <v>4240</v>
      </c>
      <c r="M55" s="193">
        <f>'附表5-1政'!M55+'附表5-3-教'!M55+'附表5-2公'!M55+'附表5-4-軍'!M55</f>
        <v>102</v>
      </c>
      <c r="N55" s="193">
        <f>'附表5-1政'!N55+'附表5-3-教'!N55+'附表5-2公'!N55+'附表5-4-軍'!N55</f>
        <v>549232</v>
      </c>
      <c r="O55" s="193">
        <f>'附表5-1政'!O55+'附表5-3-教'!O55+'附表5-2公'!O55+'附表5-4-軍'!O55</f>
        <v>15046</v>
      </c>
      <c r="P55" s="193">
        <f>'附表5-1政'!P55+'附表5-3-教'!P55+'附表5-2公'!P55+'附表5-4-軍'!P55</f>
        <v>6871</v>
      </c>
      <c r="Q55" s="193">
        <f>'附表5-1政'!Q55+'附表5-3-教'!Q55+'附表5-2公'!Q55+'附表5-4-軍'!Q55</f>
        <v>8</v>
      </c>
      <c r="R55" s="193">
        <f>'附表5-1政'!R55+'附表5-3-教'!R55+'附表5-2公'!R55+'附表5-4-軍'!R55</f>
        <v>12577</v>
      </c>
      <c r="S55" s="193">
        <f>'附表5-1政'!S55+'附表5-3-教'!S55+'附表5-2公'!S55+'附表5-4-軍'!S55</f>
        <v>30</v>
      </c>
      <c r="T55" s="193">
        <f>'附表5-1政'!T55+'附表5-3-教'!T55+'附表5-2公'!T55+'附表5-4-軍'!T55</f>
        <v>276765</v>
      </c>
      <c r="U55" s="193">
        <f>'附表5-1政'!U55+'附表5-3-教'!U55+'附表5-2公'!U55+'附表5-4-軍'!U55</f>
        <v>9444</v>
      </c>
      <c r="V55" s="193">
        <f t="shared" si="35"/>
        <v>743104</v>
      </c>
      <c r="W55" s="193">
        <f t="shared" si="36"/>
        <v>4685</v>
      </c>
      <c r="X55" s="193">
        <f>'附表5-1政'!X55+'附表5-3-教'!X55+'附表5-2公'!X55+'附表5-4-軍'!X55</f>
        <v>32098</v>
      </c>
      <c r="Y55" s="193">
        <f>'附表5-1政'!Y55+'附表5-3-教'!Y55+'附表5-2公'!Y55+'附表5-4-軍'!Y55</f>
        <v>35</v>
      </c>
      <c r="Z55" s="193">
        <f>'附表5-1政'!Z55+'附表5-3-教'!Z55+'附表5-2公'!Z55+'附表5-4-軍'!Z55</f>
        <v>711006</v>
      </c>
      <c r="AA55" s="193">
        <f>'附表5-1政'!AA55+'附表5-3-教'!AA55+'附表5-2公'!AA55+'附表5-4-軍'!AA55</f>
        <v>4650</v>
      </c>
      <c r="AB55" s="193">
        <f t="shared" si="37"/>
        <v>68521</v>
      </c>
      <c r="AC55" s="193">
        <f t="shared" si="38"/>
        <v>633</v>
      </c>
      <c r="AD55" s="193">
        <f>'附表5-1政'!AD55+'附表5-3-教'!AD55+'附表5-2公'!AD55+'附表5-4-軍'!AD55</f>
        <v>39036</v>
      </c>
      <c r="AE55" s="193">
        <f>'附表5-1政'!AE55+'附表5-3-教'!AE55+'附表5-2公'!AE55+'附表5-4-軍'!AE55</f>
        <v>358</v>
      </c>
      <c r="AF55" s="193">
        <f>'附表5-1政'!AF55+'附表5-3-教'!AF55+'附表5-2公'!AF55+'附表5-4-軍'!AF55</f>
        <v>29485</v>
      </c>
      <c r="AG55" s="193">
        <f>'附表5-1政'!AG55+'附表5-3-教'!AG55+'附表5-2公'!AG55+'附表5-4-軍'!AG55</f>
        <v>275</v>
      </c>
      <c r="AH55" s="156"/>
    </row>
    <row r="56" spans="1:34" s="141" customFormat="1" ht="15.75" customHeight="1">
      <c r="A56" s="231" t="s">
        <v>233</v>
      </c>
      <c r="B56" s="262">
        <f t="shared" si="31"/>
        <v>1527997</v>
      </c>
      <c r="C56" s="193">
        <f t="shared" si="32"/>
        <v>8056</v>
      </c>
      <c r="D56" s="262">
        <f t="shared" si="33"/>
        <v>1411003</v>
      </c>
      <c r="E56" s="193">
        <f t="shared" si="34"/>
        <v>7358</v>
      </c>
      <c r="F56" s="193">
        <f>'附表5-1政'!F56+'附表5-3-教'!F56+'附表5-2公'!F56+'附表5-4-軍'!F56</f>
        <v>439327</v>
      </c>
      <c r="G56" s="193">
        <f>'附表5-1政'!G56+'附表5-3-教'!G56+'附表5-2公'!G56+'附表5-4-軍'!G56</f>
        <v>1019</v>
      </c>
      <c r="H56" s="193">
        <f>'附表5-1政'!H56+'附表5-3-教'!H56+'附表5-2公'!H56+'附表5-4-軍'!H56</f>
        <v>785432</v>
      </c>
      <c r="I56" s="193">
        <f>'附表5-1政'!I56+'附表5-3-教'!I56+'附表5-2公'!I56+'附表5-4-軍'!I56</f>
        <v>4844</v>
      </c>
      <c r="J56" s="193">
        <f>'附表5-1政'!J56+'附表5-3-教'!J56+'附表5-2公'!J56+'附表5-4-軍'!J56</f>
        <v>131414</v>
      </c>
      <c r="K56" s="193">
        <f>'附表5-1政'!K56+'附表5-3-教'!K56+'附表5-2公'!K56+'附表5-4-軍'!K56</f>
        <v>1284</v>
      </c>
      <c r="L56" s="193">
        <f>'附表5-1政'!L56+'附表5-3-教'!L56+'附表5-2公'!L56+'附表5-4-軍'!L56</f>
        <v>0</v>
      </c>
      <c r="M56" s="193">
        <f>'附表5-1政'!M56+'附表5-3-教'!M56+'附表5-2公'!M56+'附表5-4-軍'!M56</f>
        <v>0</v>
      </c>
      <c r="N56" s="193">
        <f>'附表5-1政'!N56+'附表5-3-教'!N56+'附表5-2公'!N56+'附表5-4-軍'!N56</f>
        <v>27807</v>
      </c>
      <c r="O56" s="193">
        <f>'附表5-1政'!O56+'附表5-3-教'!O56+'附表5-2公'!O56+'附表5-4-軍'!O56</f>
        <v>52</v>
      </c>
      <c r="P56" s="193">
        <f>'附表5-1政'!P56+'附表5-3-教'!P56+'附表5-2公'!P56+'附表5-4-軍'!P56</f>
        <v>8224</v>
      </c>
      <c r="Q56" s="193">
        <f>'附表5-1政'!Q56+'附表5-3-教'!Q56+'附表5-2公'!Q56+'附表5-4-軍'!Q56</f>
        <v>9</v>
      </c>
      <c r="R56" s="193">
        <f>'附表5-1政'!R56+'附表5-3-教'!R56+'附表5-2公'!R56+'附表5-4-軍'!R56</f>
        <v>16184</v>
      </c>
      <c r="S56" s="193">
        <f>'附表5-1政'!S56+'附表5-3-教'!S56+'附表5-2公'!S56+'附表5-4-軍'!S56</f>
        <v>35</v>
      </c>
      <c r="T56" s="193">
        <f>'附表5-1政'!T56+'附表5-3-教'!T56+'附表5-2公'!T56+'附表5-4-軍'!T56</f>
        <v>2615</v>
      </c>
      <c r="U56" s="193">
        <f>'附表5-1政'!U56+'附表5-3-教'!U56+'附表5-2公'!U56+'附表5-4-軍'!U56</f>
        <v>115</v>
      </c>
      <c r="V56" s="193">
        <f t="shared" si="35"/>
        <v>54047</v>
      </c>
      <c r="W56" s="193">
        <f t="shared" si="36"/>
        <v>131</v>
      </c>
      <c r="X56" s="193">
        <f>'附表5-1政'!X56+'附表5-3-教'!X56+'附表5-2公'!X56+'附表5-4-軍'!X56</f>
        <v>46241</v>
      </c>
      <c r="Y56" s="193">
        <f>'附表5-1政'!Y56+'附表5-3-教'!Y56+'附表5-2公'!Y56+'附表5-4-軍'!Y56</f>
        <v>55</v>
      </c>
      <c r="Z56" s="193">
        <f>'附表5-1政'!Z56+'附表5-3-教'!Z56+'附表5-2公'!Z56+'附表5-4-軍'!Z56</f>
        <v>7806</v>
      </c>
      <c r="AA56" s="193">
        <f>'附表5-1政'!AA56+'附表5-3-教'!AA56+'附表5-2公'!AA56+'附表5-4-軍'!AA56</f>
        <v>76</v>
      </c>
      <c r="AB56" s="193">
        <f t="shared" si="37"/>
        <v>62947</v>
      </c>
      <c r="AC56" s="193">
        <f t="shared" si="38"/>
        <v>567</v>
      </c>
      <c r="AD56" s="193">
        <f>'附表5-1政'!AD56+'附表5-3-教'!AD56+'附表5-2公'!AD56+'附表5-4-軍'!AD56</f>
        <v>56379</v>
      </c>
      <c r="AE56" s="193">
        <f>'附表5-1政'!AE56+'附表5-3-教'!AE56+'附表5-2公'!AE56+'附表5-4-軍'!AE56</f>
        <v>457</v>
      </c>
      <c r="AF56" s="193">
        <f>'附表5-1政'!AF56+'附表5-3-教'!AF56+'附表5-2公'!AF56+'附表5-4-軍'!AF56</f>
        <v>6568</v>
      </c>
      <c r="AG56" s="193">
        <f>'附表5-1政'!AG56+'附表5-3-教'!AG56+'附表5-2公'!AG56+'附表5-4-軍'!AG56</f>
        <v>110</v>
      </c>
      <c r="AH56" s="156"/>
    </row>
    <row r="57" spans="1:34" s="141" customFormat="1" ht="15.75" customHeight="1">
      <c r="A57" s="231" t="s">
        <v>236</v>
      </c>
      <c r="B57" s="262">
        <f t="shared" si="31"/>
        <v>567888</v>
      </c>
      <c r="C57" s="193">
        <f t="shared" si="32"/>
        <v>2859</v>
      </c>
      <c r="D57" s="262">
        <f t="shared" si="33"/>
        <v>481958</v>
      </c>
      <c r="E57" s="193">
        <f t="shared" si="34"/>
        <v>2325</v>
      </c>
      <c r="F57" s="193">
        <f>'附表5-1政'!F57+'附表5-3-教'!F57+'附表5-2公'!F57+'附表5-4-軍'!F57</f>
        <v>343318</v>
      </c>
      <c r="G57" s="193">
        <f>'附表5-1政'!G57+'附表5-3-教'!G57+'附表5-2公'!G57+'附表5-4-軍'!G57</f>
        <v>1038</v>
      </c>
      <c r="H57" s="193">
        <f>'附表5-1政'!H57+'附表5-3-教'!H57+'附表5-2公'!H57+'附表5-4-軍'!H57</f>
        <v>85154</v>
      </c>
      <c r="I57" s="193">
        <f>'附表5-1政'!I57+'附表5-3-教'!I57+'附表5-2公'!I57+'附表5-4-軍'!I57</f>
        <v>890</v>
      </c>
      <c r="J57" s="193">
        <f>'附表5-1政'!J57+'附表5-3-教'!J57+'附表5-2公'!J57+'附表5-4-軍'!J57</f>
        <v>35851</v>
      </c>
      <c r="K57" s="193">
        <f>'附表5-1政'!K57+'附表5-3-教'!K57+'附表5-2公'!K57+'附表5-4-軍'!K57</f>
        <v>306</v>
      </c>
      <c r="L57" s="193">
        <f>'附表5-1政'!L57+'附表5-3-教'!L57+'附表5-2公'!L57+'附表5-4-軍'!L57</f>
        <v>0</v>
      </c>
      <c r="M57" s="193">
        <f>'附表5-1政'!M57+'附表5-3-教'!M57+'附表5-2公'!M57+'附表5-4-軍'!M57</f>
        <v>0</v>
      </c>
      <c r="N57" s="193">
        <f>'附表5-1政'!N57+'附表5-3-教'!N57+'附表5-2公'!N57+'附表5-4-軍'!N57</f>
        <v>7779</v>
      </c>
      <c r="O57" s="193">
        <f>'附表5-1政'!O57+'附表5-3-教'!O57+'附表5-2公'!O57+'附表5-4-軍'!O57</f>
        <v>17</v>
      </c>
      <c r="P57" s="193">
        <f>'附表5-1政'!P57+'附表5-3-教'!P57+'附表5-2公'!P57+'附表5-4-軍'!P57</f>
        <v>2567</v>
      </c>
      <c r="Q57" s="193">
        <f>'附表5-1政'!Q57+'附表5-3-教'!Q57+'附表5-2公'!Q57+'附表5-4-軍'!Q57</f>
        <v>6</v>
      </c>
      <c r="R57" s="193">
        <f>'附表5-1政'!R57+'附表5-3-教'!R57+'附表5-2公'!R57+'附表5-4-軍'!R57</f>
        <v>5767</v>
      </c>
      <c r="S57" s="193">
        <f>'附表5-1政'!S57+'附表5-3-教'!S57+'附表5-2公'!S57+'附表5-4-軍'!S57</f>
        <v>19</v>
      </c>
      <c r="T57" s="193">
        <f>'附表5-1政'!T57+'附表5-3-教'!T57+'附表5-2公'!T57+'附表5-4-軍'!T57</f>
        <v>1522</v>
      </c>
      <c r="U57" s="193">
        <f>'附表5-1政'!U57+'附表5-3-教'!U57+'附表5-2公'!U57+'附表5-4-軍'!U57</f>
        <v>49</v>
      </c>
      <c r="V57" s="193">
        <f t="shared" si="35"/>
        <v>45164</v>
      </c>
      <c r="W57" s="193">
        <f t="shared" si="36"/>
        <v>106</v>
      </c>
      <c r="X57" s="193">
        <f>'附表5-1政'!X57+'附表5-3-教'!X57+'附表5-2公'!X57+'附表5-4-軍'!X57</f>
        <v>40739</v>
      </c>
      <c r="Y57" s="193">
        <f>'附表5-1政'!Y57+'附表5-3-教'!Y57+'附表5-2公'!Y57+'附表5-4-軍'!Y57</f>
        <v>48</v>
      </c>
      <c r="Z57" s="193">
        <f>'附表5-1政'!Z57+'附表5-3-教'!Z57+'附表5-2公'!Z57+'附表5-4-軍'!Z57</f>
        <v>4425</v>
      </c>
      <c r="AA57" s="193">
        <f>'附表5-1政'!AA57+'附表5-3-教'!AA57+'附表5-2公'!AA57+'附表5-4-軍'!AA57</f>
        <v>58</v>
      </c>
      <c r="AB57" s="193">
        <f t="shared" si="37"/>
        <v>40766</v>
      </c>
      <c r="AC57" s="193">
        <f t="shared" si="38"/>
        <v>428</v>
      </c>
      <c r="AD57" s="193">
        <f>'附表5-1政'!AD57+'附表5-3-教'!AD57+'附表5-2公'!AD57+'附表5-4-軍'!AD57</f>
        <v>38832</v>
      </c>
      <c r="AE57" s="193">
        <f>'附表5-1政'!AE57+'附表5-3-教'!AE57+'附表5-2公'!AE57+'附表5-4-軍'!AE57</f>
        <v>406</v>
      </c>
      <c r="AF57" s="193">
        <f>'附表5-1政'!AF57+'附表5-3-教'!AF57+'附表5-2公'!AF57+'附表5-4-軍'!AF57</f>
        <v>1934</v>
      </c>
      <c r="AG57" s="193">
        <f>'附表5-1政'!AG57+'附表5-3-教'!AG57+'附表5-2公'!AG57+'附表5-4-軍'!AG57</f>
        <v>22</v>
      </c>
      <c r="AH57" s="156"/>
    </row>
    <row r="58" spans="1:34" s="141" customFormat="1" ht="15.75" customHeight="1">
      <c r="A58" s="231" t="s">
        <v>238</v>
      </c>
      <c r="B58" s="262">
        <f t="shared" si="31"/>
        <v>376065</v>
      </c>
      <c r="C58" s="193">
        <f t="shared" si="32"/>
        <v>1981</v>
      </c>
      <c r="D58" s="262">
        <f t="shared" si="33"/>
        <v>310576</v>
      </c>
      <c r="E58" s="193">
        <f t="shared" si="34"/>
        <v>1513</v>
      </c>
      <c r="F58" s="193">
        <f>'附表5-1政'!F58+'附表5-3-教'!F58+'附表5-2公'!F58+'附表5-4-軍'!F58</f>
        <v>243776</v>
      </c>
      <c r="G58" s="193">
        <f>'附表5-1政'!G58+'附表5-3-教'!G58+'附表5-2公'!G58+'附表5-4-軍'!G58</f>
        <v>730</v>
      </c>
      <c r="H58" s="193">
        <f>'附表5-1政'!H58+'附表5-3-教'!H58+'附表5-2公'!H58+'附表5-4-軍'!H58</f>
        <v>37040</v>
      </c>
      <c r="I58" s="193">
        <f>'附表5-1政'!I58+'附表5-3-教'!I58+'附表5-2公'!I58+'附表5-4-軍'!I58</f>
        <v>542</v>
      </c>
      <c r="J58" s="193">
        <f>'附表5-1政'!J58+'附表5-3-教'!J58+'附表5-2公'!J58+'附表5-4-軍'!J58</f>
        <v>14909</v>
      </c>
      <c r="K58" s="193">
        <f>'附表5-1政'!K58+'附表5-3-教'!K58+'附表5-2公'!K58+'附表5-4-軍'!K58</f>
        <v>188</v>
      </c>
      <c r="L58" s="193">
        <f>'附表5-1政'!L58+'附表5-3-教'!L58+'附表5-2公'!L58+'附表5-4-軍'!L58</f>
        <v>0</v>
      </c>
      <c r="M58" s="193">
        <f>'附表5-1政'!M58+'附表5-3-教'!M58+'附表5-2公'!M58+'附表5-4-軍'!M58</f>
        <v>0</v>
      </c>
      <c r="N58" s="193">
        <f>'附表5-1政'!N58+'附表5-3-教'!N58+'附表5-2公'!N58+'附表5-4-軍'!N58</f>
        <v>1495</v>
      </c>
      <c r="O58" s="193">
        <f>'附表5-1政'!O58+'附表5-3-教'!O58+'附表5-2公'!O58+'附表5-4-軍'!O58</f>
        <v>4</v>
      </c>
      <c r="P58" s="193">
        <f>'附表5-1政'!P58+'附表5-3-教'!P58+'附表5-2公'!P58+'附表5-4-軍'!P58</f>
        <v>8033</v>
      </c>
      <c r="Q58" s="193">
        <f>'附表5-1政'!Q58+'附表5-3-教'!Q58+'附表5-2公'!Q58+'附表5-4-軍'!Q58</f>
        <v>6</v>
      </c>
      <c r="R58" s="193">
        <f>'附表5-1政'!R58+'附表5-3-教'!R58+'附表5-2公'!R58+'附表5-4-軍'!R58</f>
        <v>4703</v>
      </c>
      <c r="S58" s="193">
        <f>'附表5-1政'!S58+'附表5-3-教'!S58+'附表5-2公'!S58+'附表5-4-軍'!S58</f>
        <v>22</v>
      </c>
      <c r="T58" s="193">
        <f>'附表5-1政'!T58+'附表5-3-教'!T58+'附表5-2公'!T58+'附表5-4-軍'!T58</f>
        <v>620</v>
      </c>
      <c r="U58" s="193">
        <f>'附表5-1政'!U58+'附表5-3-教'!U58+'附表5-2公'!U58+'附表5-4-軍'!U58</f>
        <v>21</v>
      </c>
      <c r="V58" s="193">
        <f t="shared" si="35"/>
        <v>36526</v>
      </c>
      <c r="W58" s="193">
        <f t="shared" si="36"/>
        <v>94</v>
      </c>
      <c r="X58" s="193">
        <f>'附表5-1政'!X58+'附表5-3-教'!X58+'附表5-2公'!X58+'附表5-4-軍'!X58</f>
        <v>31700</v>
      </c>
      <c r="Y58" s="193">
        <f>'附表5-1政'!Y58+'附表5-3-教'!Y58+'附表5-2公'!Y58+'附表5-4-軍'!Y58</f>
        <v>33</v>
      </c>
      <c r="Z58" s="193">
        <f>'附表5-1政'!Z58+'附表5-3-教'!Z58+'附表5-2公'!Z58+'附表5-4-軍'!Z58</f>
        <v>4826</v>
      </c>
      <c r="AA58" s="193">
        <f>'附表5-1政'!AA58+'附表5-3-教'!AA58+'附表5-2公'!AA58+'附表5-4-軍'!AA58</f>
        <v>61</v>
      </c>
      <c r="AB58" s="193">
        <f t="shared" si="37"/>
        <v>28963</v>
      </c>
      <c r="AC58" s="193">
        <f t="shared" si="38"/>
        <v>374</v>
      </c>
      <c r="AD58" s="193">
        <f>'附表5-1政'!AD58+'附表5-3-教'!AD58+'附表5-2公'!AD58+'附表5-4-軍'!AD58</f>
        <v>27690</v>
      </c>
      <c r="AE58" s="193">
        <f>'附表5-1政'!AE58+'附表5-3-教'!AE58+'附表5-2公'!AE58+'附表5-4-軍'!AE58</f>
        <v>356</v>
      </c>
      <c r="AF58" s="193">
        <f>'附表5-1政'!AF58+'附表5-3-教'!AF58+'附表5-2公'!AF58+'附表5-4-軍'!AF58</f>
        <v>1273</v>
      </c>
      <c r="AG58" s="193">
        <f>'附表5-1政'!AG58+'附表5-3-教'!AG58+'附表5-2公'!AG58+'附表5-4-軍'!AG58</f>
        <v>18</v>
      </c>
      <c r="AH58" s="156"/>
    </row>
    <row r="59" spans="1:34" s="141" customFormat="1" ht="15.75" customHeight="1">
      <c r="A59" s="231" t="s">
        <v>239</v>
      </c>
      <c r="B59" s="262">
        <f>D59+V59+AB59</f>
        <v>376065</v>
      </c>
      <c r="C59" s="193">
        <f>E59+W59+AC59</f>
        <v>1981</v>
      </c>
      <c r="D59" s="262">
        <f>F59+H59+J59+N59+P59+L59+R59+T59</f>
        <v>310576</v>
      </c>
      <c r="E59" s="193">
        <f>G59+I59+K59+O59+Q59+M59+S59+U59</f>
        <v>1513</v>
      </c>
      <c r="F59" s="193">
        <f>'附表5-1政'!F58+'附表5-3-教'!F58+'附表5-2公'!F58+'附表5-4-軍'!F58</f>
        <v>243776</v>
      </c>
      <c r="G59" s="193">
        <f>'附表5-1政'!G58+'附表5-3-教'!G58+'附表5-2公'!G58+'附表5-4-軍'!G58</f>
        <v>730</v>
      </c>
      <c r="H59" s="193">
        <f>'附表5-1政'!H58+'附表5-3-教'!H58+'附表5-2公'!H58+'附表5-4-軍'!H58</f>
        <v>37040</v>
      </c>
      <c r="I59" s="193">
        <f>'附表5-1政'!I58+'附表5-3-教'!I58+'附表5-2公'!I58+'附表5-4-軍'!I58</f>
        <v>542</v>
      </c>
      <c r="J59" s="193">
        <f>'附表5-1政'!J58+'附表5-3-教'!J58+'附表5-2公'!J58+'附表5-4-軍'!J58</f>
        <v>14909</v>
      </c>
      <c r="K59" s="193">
        <f>'附表5-1政'!K58+'附表5-3-教'!K58+'附表5-2公'!K58+'附表5-4-軍'!K58</f>
        <v>188</v>
      </c>
      <c r="L59" s="193">
        <f>'附表5-1政'!L58+'附表5-3-教'!L58+'附表5-2公'!L58+'附表5-4-軍'!L58</f>
        <v>0</v>
      </c>
      <c r="M59" s="193">
        <f>'附表5-1政'!M58+'附表5-3-教'!M58+'附表5-2公'!M58+'附表5-4-軍'!M58</f>
        <v>0</v>
      </c>
      <c r="N59" s="193">
        <f>'附表5-1政'!N58+'附表5-3-教'!N58+'附表5-2公'!N58+'附表5-4-軍'!N58</f>
        <v>1495</v>
      </c>
      <c r="O59" s="193">
        <f>'附表5-1政'!O58+'附表5-3-教'!O58+'附表5-2公'!O58+'附表5-4-軍'!O58</f>
        <v>4</v>
      </c>
      <c r="P59" s="193">
        <f>'附表5-1政'!P58+'附表5-3-教'!P58+'附表5-2公'!P58+'附表5-4-軍'!P58</f>
        <v>8033</v>
      </c>
      <c r="Q59" s="193">
        <f>'附表5-1政'!Q58+'附表5-3-教'!Q58+'附表5-2公'!Q58+'附表5-4-軍'!Q58</f>
        <v>6</v>
      </c>
      <c r="R59" s="193">
        <f>'附表5-1政'!R58+'附表5-3-教'!R58+'附表5-2公'!R58+'附表5-4-軍'!R58</f>
        <v>4703</v>
      </c>
      <c r="S59" s="193">
        <f>'附表5-1政'!S58+'附表5-3-教'!S58+'附表5-2公'!S58+'附表5-4-軍'!S58</f>
        <v>22</v>
      </c>
      <c r="T59" s="193">
        <f>'附表5-1政'!T58+'附表5-3-教'!T58+'附表5-2公'!T58+'附表5-4-軍'!T58</f>
        <v>620</v>
      </c>
      <c r="U59" s="193">
        <f>'附表5-1政'!U58+'附表5-3-教'!U58+'附表5-2公'!U58+'附表5-4-軍'!U58</f>
        <v>21</v>
      </c>
      <c r="V59" s="193">
        <f>+X59+Z59</f>
        <v>36526</v>
      </c>
      <c r="W59" s="193">
        <f>+Y59+AA59</f>
        <v>94</v>
      </c>
      <c r="X59" s="193">
        <f>'附表5-1政'!X58+'附表5-3-教'!X58+'附表5-2公'!X58+'附表5-4-軍'!X58</f>
        <v>31700</v>
      </c>
      <c r="Y59" s="193">
        <f>'附表5-1政'!Y58+'附表5-3-教'!Y58+'附表5-2公'!Y58+'附表5-4-軍'!Y58</f>
        <v>33</v>
      </c>
      <c r="Z59" s="193">
        <f>'附表5-1政'!Z58+'附表5-3-教'!Z58+'附表5-2公'!Z58+'附表5-4-軍'!Z58</f>
        <v>4826</v>
      </c>
      <c r="AA59" s="193">
        <f>'附表5-1政'!AA58+'附表5-3-教'!AA58+'附表5-2公'!AA58+'附表5-4-軍'!AA58</f>
        <v>61</v>
      </c>
      <c r="AB59" s="193">
        <f>AD59+AF59</f>
        <v>28963</v>
      </c>
      <c r="AC59" s="193">
        <f>AE59+AG59</f>
        <v>374</v>
      </c>
      <c r="AD59" s="193">
        <f>'附表5-1政'!AD58+'附表5-3-教'!AD58+'附表5-2公'!AD58+'附表5-4-軍'!AD58</f>
        <v>27690</v>
      </c>
      <c r="AE59" s="193">
        <f>'附表5-1政'!AE58+'附表5-3-教'!AE58+'附表5-2公'!AE58+'附表5-4-軍'!AE58</f>
        <v>356</v>
      </c>
      <c r="AF59" s="193">
        <f>'附表5-1政'!AF58+'附表5-3-教'!AF58+'附表5-2公'!AF58+'附表5-4-軍'!AF58</f>
        <v>1273</v>
      </c>
      <c r="AG59" s="193">
        <f>'附表5-1政'!AG58+'附表5-3-教'!AG58+'附表5-2公'!AG58+'附表5-4-軍'!AG58</f>
        <v>18</v>
      </c>
      <c r="AH59" s="156"/>
    </row>
    <row r="60" spans="1:34" s="141" customFormat="1" ht="15.75" customHeight="1">
      <c r="A60" s="231" t="s">
        <v>243</v>
      </c>
      <c r="B60" s="262">
        <f t="shared" si="31"/>
        <v>620782</v>
      </c>
      <c r="C60" s="193">
        <f t="shared" si="32"/>
        <v>4312</v>
      </c>
      <c r="D60" s="262">
        <f t="shared" si="33"/>
        <v>537990</v>
      </c>
      <c r="E60" s="193">
        <f t="shared" si="34"/>
        <v>3744</v>
      </c>
      <c r="F60" s="193">
        <f>'附表5-1政'!F60+'附表5-3-教'!F60+'附表5-2公'!F60+'附表5-4-軍'!F60</f>
        <v>412070</v>
      </c>
      <c r="G60" s="193">
        <f>'附表5-1政'!G60+'附表5-3-教'!G60+'附表5-2公'!G60+'附表5-4-軍'!G60</f>
        <v>1110</v>
      </c>
      <c r="H60" s="193">
        <f>'附表5-1政'!H60+'附表5-3-教'!H60+'附表5-2公'!H60+'附表5-4-軍'!H60</f>
        <v>36134</v>
      </c>
      <c r="I60" s="193">
        <f>'附表5-1政'!I60+'附表5-3-教'!I60+'附表5-2公'!I60+'附表5-4-軍'!I60</f>
        <v>2077</v>
      </c>
      <c r="J60" s="193">
        <f>'附表5-1政'!J60+'附表5-3-教'!J60+'附表5-2公'!J60+'附表5-4-軍'!J60</f>
        <v>60847</v>
      </c>
      <c r="K60" s="193">
        <f>'附表5-1政'!K60+'附表5-3-教'!K60+'附表5-2公'!K60+'附表5-4-軍'!K60</f>
        <v>463</v>
      </c>
      <c r="L60" s="193">
        <f>'附表5-1政'!L60+'附表5-3-教'!L60+'附表5-2公'!L60+'附表5-4-軍'!L60</f>
        <v>0</v>
      </c>
      <c r="M60" s="193">
        <f>'附表5-1政'!M60+'附表5-3-教'!M60+'附表5-2公'!M60+'附表5-4-軍'!M60</f>
        <v>0</v>
      </c>
      <c r="N60" s="193">
        <f>'附表5-1政'!N60+'附表5-3-教'!N60+'附表5-2公'!N60+'附表5-4-軍'!N60</f>
        <v>10424</v>
      </c>
      <c r="O60" s="193">
        <f>'附表5-1政'!O60+'附表5-3-教'!O60+'附表5-2公'!O60+'附表5-4-軍'!O60</f>
        <v>24</v>
      </c>
      <c r="P60" s="193">
        <f>'附表5-1政'!P60+'附表5-3-教'!P60+'附表5-2公'!P60+'附表5-4-軍'!P60</f>
        <v>3914</v>
      </c>
      <c r="Q60" s="193">
        <f>'附表5-1政'!Q60+'附表5-3-教'!Q60+'附表5-2公'!Q60+'附表5-4-軍'!Q60</f>
        <v>5</v>
      </c>
      <c r="R60" s="193">
        <f>'附表5-1政'!R60+'附表5-3-教'!R60+'附表5-2公'!R60+'附表5-4-軍'!R60</f>
        <v>14537</v>
      </c>
      <c r="S60" s="193">
        <f>'附表5-1政'!S60+'附表5-3-教'!S60+'附表5-2公'!S60+'附表5-4-軍'!S60</f>
        <v>38</v>
      </c>
      <c r="T60" s="193">
        <f>'附表5-1政'!T60+'附表5-3-教'!T60+'附表5-2公'!T60+'附表5-4-軍'!T60</f>
        <v>64</v>
      </c>
      <c r="U60" s="193">
        <f>'附表5-1政'!U60+'附表5-3-教'!U60+'附表5-2公'!U60+'附表5-4-軍'!U60</f>
        <v>27</v>
      </c>
      <c r="V60" s="193">
        <f t="shared" si="35"/>
        <v>40312</v>
      </c>
      <c r="W60" s="193">
        <f t="shared" si="36"/>
        <v>92</v>
      </c>
      <c r="X60" s="193">
        <f>'附表5-1政'!X60+'附表5-3-教'!X60+'附表5-2公'!X60+'附表5-4-軍'!X60</f>
        <v>38083</v>
      </c>
      <c r="Y60" s="193">
        <f>'附表5-1政'!Y60+'附表5-3-教'!Y60+'附表5-2公'!Y60+'附表5-4-軍'!Y60</f>
        <v>41</v>
      </c>
      <c r="Z60" s="193">
        <f>'附表5-1政'!Z60+'附表5-3-教'!Z60+'附表5-2公'!Z60+'附表5-4-軍'!Z60</f>
        <v>2229</v>
      </c>
      <c r="AA60" s="193">
        <f>'附表5-1政'!AA60+'附表5-3-教'!AA60+'附表5-2公'!AA60+'附表5-4-軍'!AA60</f>
        <v>51</v>
      </c>
      <c r="AB60" s="193">
        <f t="shared" si="37"/>
        <v>42480</v>
      </c>
      <c r="AC60" s="193">
        <f t="shared" si="38"/>
        <v>476</v>
      </c>
      <c r="AD60" s="193">
        <f>'附表5-1政'!AD60+'附表5-3-教'!AD60+'附表5-2公'!AD60+'附表5-4-軍'!AD60</f>
        <v>35568</v>
      </c>
      <c r="AE60" s="193">
        <f>'附表5-1政'!AE60+'附表5-3-教'!AE60+'附表5-2公'!AE60+'附表5-4-軍'!AE60</f>
        <v>384</v>
      </c>
      <c r="AF60" s="193">
        <f>'附表5-1政'!AF60+'附表5-3-教'!AF60+'附表5-2公'!AF60+'附表5-4-軍'!AF60</f>
        <v>6912</v>
      </c>
      <c r="AG60" s="193">
        <f>'附表5-1政'!AG60+'附表5-3-教'!AG60+'附表5-2公'!AG60+'附表5-4-軍'!AG60</f>
        <v>92</v>
      </c>
      <c r="AH60" s="156"/>
    </row>
    <row r="61" spans="1:36" s="325" customFormat="1" ht="15.75" customHeight="1">
      <c r="A61" s="158" t="s">
        <v>10</v>
      </c>
      <c r="B61" s="159"/>
      <c r="C61" s="159"/>
      <c r="D61" s="343">
        <f>F61+H61+J61+L61+N61+P61+R61+T61</f>
        <v>100.00000000000001</v>
      </c>
      <c r="E61" s="159">
        <f>G61+I61+K61+M61+O61+Q61+S61+U61</f>
        <v>100</v>
      </c>
      <c r="F61" s="159">
        <f>ROUND(F60/$D$60*100,2)</f>
        <v>76.59</v>
      </c>
      <c r="G61" s="159">
        <f>ROUND(G60/$E$60*100,2)</f>
        <v>29.65</v>
      </c>
      <c r="H61" s="159">
        <f>ROUND(H60/$D$60*100,2)</f>
        <v>6.72</v>
      </c>
      <c r="I61" s="159">
        <f>ROUND(I60/$E$60*100,2)</f>
        <v>55.48</v>
      </c>
      <c r="J61" s="159">
        <f>ROUND(J60/$D$60*100,2)</f>
        <v>11.31</v>
      </c>
      <c r="K61" s="159">
        <f>ROUND(K60/$E$60*100,2)</f>
        <v>12.37</v>
      </c>
      <c r="L61" s="159">
        <f>ROUND(L60/$D$60*100,2)</f>
        <v>0</v>
      </c>
      <c r="M61" s="159">
        <f>ROUND(M60/$E$60*100,2)</f>
        <v>0</v>
      </c>
      <c r="N61" s="159">
        <f>ROUND(N60/$D$60*100,2)</f>
        <v>1.94</v>
      </c>
      <c r="O61" s="159">
        <f>ROUND(O60/$E$60*100,2)</f>
        <v>0.64</v>
      </c>
      <c r="P61" s="159">
        <f>ROUND(P60/$D$60*100,2)</f>
        <v>0.73</v>
      </c>
      <c r="Q61" s="159">
        <f>ROUND(Q60/$E$60*100,2)</f>
        <v>0.13</v>
      </c>
      <c r="R61" s="159">
        <f>ROUND(R60/$D$60*100,2)</f>
        <v>2.7</v>
      </c>
      <c r="S61" s="159">
        <f>ROUND(S60/$E$60*100,2)</f>
        <v>1.01</v>
      </c>
      <c r="T61" s="159">
        <f>ROUND(T60/$D$60*100,2)</f>
        <v>0.01</v>
      </c>
      <c r="U61" s="159">
        <f>ROUND(U60/$E$60*100,2)</f>
        <v>0.72</v>
      </c>
      <c r="V61" s="300">
        <f>X61+Z61</f>
        <v>100</v>
      </c>
      <c r="W61" s="300">
        <f>Y61+AA61</f>
        <v>100</v>
      </c>
      <c r="X61" s="300">
        <f>ROUND(X60/$V$60*100,2)</f>
        <v>94.47</v>
      </c>
      <c r="Y61" s="300">
        <f>ROUND(Y60/$W$60*100,2)</f>
        <v>44.57</v>
      </c>
      <c r="Z61" s="300">
        <f>ROUND(Z60/$V$60*100,2)</f>
        <v>5.53</v>
      </c>
      <c r="AA61" s="300">
        <f>ROUND(AA60/$W$60*100,2)</f>
        <v>55.43</v>
      </c>
      <c r="AB61" s="300">
        <f>AD61+AF61</f>
        <v>100</v>
      </c>
      <c r="AC61" s="300">
        <f>AE61+AG61</f>
        <v>100</v>
      </c>
      <c r="AD61" s="300">
        <f>ROUND(AD60/$AB$60*100,2)</f>
        <v>83.73</v>
      </c>
      <c r="AE61" s="300">
        <f>ROUND(AE60/$AC$60*100,2)</f>
        <v>80.67</v>
      </c>
      <c r="AF61" s="300">
        <f>ROUND(AF60/$AB$60*100,2)</f>
        <v>16.27</v>
      </c>
      <c r="AG61" s="300">
        <f>ROUND(AG60/$AC$60*100,2)</f>
        <v>19.33</v>
      </c>
      <c r="AH61" s="301"/>
      <c r="AI61" s="324"/>
      <c r="AJ61" s="324"/>
    </row>
    <row r="62" spans="1:34" s="140" customFormat="1" ht="15.75" customHeight="1">
      <c r="A62" s="160" t="s">
        <v>130</v>
      </c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2"/>
      <c r="AF62" s="162"/>
      <c r="AG62" s="162"/>
      <c r="AH62" s="161"/>
    </row>
    <row r="63" spans="1:38" s="140" customFormat="1" ht="15.75" customHeight="1">
      <c r="A63" s="163" t="s">
        <v>160</v>
      </c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G63" s="162"/>
      <c r="AH63" s="162"/>
      <c r="AI63" s="162"/>
      <c r="AJ63" s="162"/>
      <c r="AK63" s="162"/>
      <c r="AL63" s="161"/>
    </row>
    <row r="64" spans="1:44" s="140" customFormat="1" ht="15.75" customHeight="1">
      <c r="A64" s="163" t="s">
        <v>131</v>
      </c>
      <c r="B64" s="138"/>
      <c r="C64" s="138"/>
      <c r="D64" s="138"/>
      <c r="E64" s="138"/>
      <c r="F64" s="138"/>
      <c r="G64" s="138"/>
      <c r="R64" s="144"/>
      <c r="S64" s="144"/>
      <c r="U64" s="305"/>
      <c r="AH64" s="164"/>
      <c r="AI64" s="164"/>
      <c r="AL64" s="162"/>
      <c r="AM64" s="162"/>
      <c r="AN64" s="162"/>
      <c r="AO64" s="162"/>
      <c r="AP64" s="162"/>
      <c r="AQ64" s="162"/>
      <c r="AR64" s="138"/>
    </row>
    <row r="65" spans="1:34" ht="15.75" customHeight="1">
      <c r="A65" s="163" t="s">
        <v>237</v>
      </c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65"/>
    </row>
    <row r="66" ht="24.75" customHeight="1"/>
  </sheetData>
  <sheetProtection/>
  <mergeCells count="9">
    <mergeCell ref="A3:A5"/>
    <mergeCell ref="B3:C4"/>
    <mergeCell ref="N4:O4"/>
    <mergeCell ref="AD4:AE4"/>
    <mergeCell ref="V3:AA3"/>
    <mergeCell ref="D3:Q3"/>
    <mergeCell ref="R3:U3"/>
    <mergeCell ref="AB3:AG3"/>
    <mergeCell ref="AF4:AG4"/>
  </mergeCells>
  <printOptions horizontalCentered="1" verticalCentered="1"/>
  <pageMargins left="0.3937007874015748" right="0.3937007874015748" top="0.35433070866141736" bottom="0.31496062992125984" header="0.4724409448818898" footer="0.4724409448818898"/>
  <pageSetup horizontalDpi="600" verticalDpi="600" orientation="landscape" paperSize="9" scale="91" r:id="rId1"/>
  <colBreaks count="1" manualBreakCount="1">
    <brk id="17" max="7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V64"/>
  <sheetViews>
    <sheetView zoomScale="140" zoomScaleNormal="140"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60" sqref="J60"/>
    </sheetView>
  </sheetViews>
  <sheetFormatPr defaultColWidth="9.00390625" defaultRowHeight="36" customHeight="1"/>
  <cols>
    <col min="1" max="1" width="10.375" style="104" customWidth="1"/>
    <col min="2" max="2" width="8.875" style="104" customWidth="1"/>
    <col min="3" max="3" width="7.50390625" style="104" customWidth="1"/>
    <col min="4" max="4" width="8.875" style="104" customWidth="1"/>
    <col min="5" max="5" width="6.375" style="104" customWidth="1"/>
    <col min="6" max="6" width="9.625" style="104" bestFit="1" customWidth="1"/>
    <col min="7" max="7" width="6.375" style="104" customWidth="1"/>
    <col min="8" max="8" width="8.625" style="104" customWidth="1"/>
    <col min="9" max="9" width="6.375" style="104" customWidth="1"/>
    <col min="10" max="10" width="7.25390625" style="104" customWidth="1"/>
    <col min="11" max="11" width="5.75390625" style="104" customWidth="1"/>
    <col min="12" max="12" width="6.00390625" style="104" customWidth="1"/>
    <col min="13" max="13" width="5.75390625" style="104" customWidth="1"/>
    <col min="14" max="14" width="7.375" style="104" customWidth="1"/>
    <col min="15" max="15" width="6.375" style="104" customWidth="1"/>
    <col min="16" max="16" width="7.125" style="104" customWidth="1"/>
    <col min="17" max="17" width="6.375" style="104" customWidth="1"/>
    <col min="18" max="18" width="7.875" style="104" bestFit="1" customWidth="1"/>
    <col min="19" max="19" width="6.75390625" style="104" bestFit="1" customWidth="1"/>
    <col min="20" max="20" width="5.875" style="104" customWidth="1"/>
    <col min="21" max="21" width="6.50390625" style="104" customWidth="1"/>
    <col min="22" max="22" width="7.125" style="104" customWidth="1"/>
    <col min="23" max="23" width="5.625" style="104" customWidth="1"/>
    <col min="24" max="24" width="7.125" style="104" customWidth="1"/>
    <col min="25" max="25" width="5.875" style="104" customWidth="1"/>
    <col min="26" max="26" width="6.50390625" style="104" customWidth="1"/>
    <col min="27" max="27" width="6.875" style="104" customWidth="1"/>
    <col min="28" max="28" width="7.00390625" style="104" customWidth="1"/>
    <col min="29" max="29" width="6.375" style="104" customWidth="1"/>
    <col min="30" max="30" width="7.125" style="104" customWidth="1"/>
    <col min="31" max="31" width="6.75390625" style="104" bestFit="1" customWidth="1"/>
    <col min="32" max="32" width="6.375" style="104" customWidth="1"/>
    <col min="33" max="33" width="6.25390625" style="104" customWidth="1"/>
    <col min="34" max="16384" width="9.00390625" style="106" customWidth="1"/>
  </cols>
  <sheetData>
    <row r="1" spans="1:44" ht="18" customHeight="1">
      <c r="A1" s="218" t="s">
        <v>190</v>
      </c>
      <c r="B1" s="44"/>
      <c r="C1" s="44"/>
      <c r="D1" s="43"/>
      <c r="E1" s="102"/>
      <c r="F1" s="102"/>
      <c r="G1" s="102"/>
      <c r="H1" s="103"/>
      <c r="I1" s="103"/>
      <c r="N1" s="293"/>
      <c r="O1" s="103"/>
      <c r="R1" s="218" t="s">
        <v>191</v>
      </c>
      <c r="S1" s="103"/>
      <c r="AA1" s="43"/>
      <c r="AB1" s="43"/>
      <c r="AC1" s="43"/>
      <c r="AH1" s="105"/>
      <c r="AI1" s="107"/>
      <c r="AJ1" s="107"/>
      <c r="AK1" s="107"/>
      <c r="AL1" s="107"/>
      <c r="AM1" s="107"/>
      <c r="AN1" s="107"/>
      <c r="AO1" s="107"/>
      <c r="AP1" s="107"/>
      <c r="AQ1" s="107"/>
      <c r="AR1" s="107"/>
    </row>
    <row r="2" spans="1:34" ht="11.25" customHeight="1">
      <c r="A2" s="102"/>
      <c r="B2" s="102"/>
      <c r="C2" s="102"/>
      <c r="D2" s="102"/>
      <c r="E2" s="102"/>
      <c r="F2" s="102"/>
      <c r="G2" s="102"/>
      <c r="Q2" s="108" t="s">
        <v>114</v>
      </c>
      <c r="AC2" s="109" t="s">
        <v>92</v>
      </c>
      <c r="AD2"/>
      <c r="AF2" s="43"/>
      <c r="AG2" s="108" t="s">
        <v>114</v>
      </c>
      <c r="AH2" s="105"/>
    </row>
    <row r="3" spans="1:34" ht="15.75" customHeight="1">
      <c r="A3" s="110"/>
      <c r="B3" s="468" t="s">
        <v>117</v>
      </c>
      <c r="C3" s="406"/>
      <c r="D3" s="469" t="s">
        <v>135</v>
      </c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1"/>
      <c r="R3" s="465" t="s">
        <v>118</v>
      </c>
      <c r="S3" s="466"/>
      <c r="T3" s="466"/>
      <c r="U3" s="467"/>
      <c r="V3" s="469" t="s">
        <v>41</v>
      </c>
      <c r="W3" s="472"/>
      <c r="X3" s="472"/>
      <c r="Y3" s="472"/>
      <c r="Z3" s="472"/>
      <c r="AA3" s="473"/>
      <c r="AB3" s="469" t="s">
        <v>119</v>
      </c>
      <c r="AC3" s="470"/>
      <c r="AD3" s="470"/>
      <c r="AE3" s="470"/>
      <c r="AF3" s="470"/>
      <c r="AG3" s="471"/>
      <c r="AH3" s="105"/>
    </row>
    <row r="4" spans="1:34" ht="15.75" customHeight="1">
      <c r="A4" s="111" t="s">
        <v>98</v>
      </c>
      <c r="B4" s="407"/>
      <c r="C4" s="409"/>
      <c r="D4" s="112" t="s">
        <v>42</v>
      </c>
      <c r="E4" s="113"/>
      <c r="F4" s="112" t="s">
        <v>134</v>
      </c>
      <c r="G4" s="113"/>
      <c r="H4" s="112" t="s">
        <v>44</v>
      </c>
      <c r="I4" s="113"/>
      <c r="J4" s="112" t="s">
        <v>45</v>
      </c>
      <c r="K4" s="113"/>
      <c r="L4" s="114" t="s">
        <v>120</v>
      </c>
      <c r="M4" s="114"/>
      <c r="N4" s="469" t="s">
        <v>121</v>
      </c>
      <c r="O4" s="471"/>
      <c r="P4" s="115" t="s">
        <v>46</v>
      </c>
      <c r="Q4" s="115"/>
      <c r="R4" s="115" t="s">
        <v>49</v>
      </c>
      <c r="S4" s="115"/>
      <c r="T4" s="115" t="s">
        <v>50</v>
      </c>
      <c r="U4" s="115"/>
      <c r="V4" s="115" t="s">
        <v>42</v>
      </c>
      <c r="W4" s="115"/>
      <c r="X4" s="115" t="s">
        <v>47</v>
      </c>
      <c r="Y4" s="115"/>
      <c r="Z4" s="115" t="s">
        <v>48</v>
      </c>
      <c r="AA4" s="115"/>
      <c r="AB4" s="112" t="s">
        <v>122</v>
      </c>
      <c r="AC4" s="112"/>
      <c r="AD4" s="469" t="s">
        <v>123</v>
      </c>
      <c r="AE4" s="471"/>
      <c r="AF4" s="469" t="s">
        <v>124</v>
      </c>
      <c r="AG4" s="471"/>
      <c r="AH4" s="116"/>
    </row>
    <row r="5" spans="1:34" ht="15.75" customHeight="1">
      <c r="A5" s="117"/>
      <c r="B5" s="118" t="s">
        <v>51</v>
      </c>
      <c r="C5" s="118" t="s">
        <v>125</v>
      </c>
      <c r="D5" s="117" t="s">
        <v>51</v>
      </c>
      <c r="E5" s="118" t="s">
        <v>125</v>
      </c>
      <c r="F5" s="117" t="s">
        <v>51</v>
      </c>
      <c r="G5" s="118" t="s">
        <v>125</v>
      </c>
      <c r="H5" s="117" t="s">
        <v>51</v>
      </c>
      <c r="I5" s="118" t="s">
        <v>125</v>
      </c>
      <c r="J5" s="119" t="s">
        <v>51</v>
      </c>
      <c r="K5" s="118" t="s">
        <v>125</v>
      </c>
      <c r="L5" s="119" t="s">
        <v>51</v>
      </c>
      <c r="M5" s="118" t="s">
        <v>125</v>
      </c>
      <c r="N5" s="117" t="s">
        <v>51</v>
      </c>
      <c r="O5" s="118" t="s">
        <v>125</v>
      </c>
      <c r="P5" s="117" t="s">
        <v>51</v>
      </c>
      <c r="Q5" s="118" t="s">
        <v>125</v>
      </c>
      <c r="R5" s="117" t="s">
        <v>51</v>
      </c>
      <c r="S5" s="117" t="s">
        <v>125</v>
      </c>
      <c r="T5" s="117" t="s">
        <v>51</v>
      </c>
      <c r="U5" s="117" t="s">
        <v>125</v>
      </c>
      <c r="V5" s="117" t="s">
        <v>51</v>
      </c>
      <c r="W5" s="118" t="s">
        <v>125</v>
      </c>
      <c r="X5" s="117" t="s">
        <v>51</v>
      </c>
      <c r="Y5" s="118" t="s">
        <v>125</v>
      </c>
      <c r="Z5" s="117" t="s">
        <v>51</v>
      </c>
      <c r="AA5" s="118" t="s">
        <v>125</v>
      </c>
      <c r="AB5" s="117" t="s">
        <v>51</v>
      </c>
      <c r="AC5" s="118" t="s">
        <v>125</v>
      </c>
      <c r="AD5" s="117" t="s">
        <v>51</v>
      </c>
      <c r="AE5" s="118" t="s">
        <v>125</v>
      </c>
      <c r="AF5" s="117" t="s">
        <v>51</v>
      </c>
      <c r="AG5" s="118" t="s">
        <v>125</v>
      </c>
      <c r="AH5" s="116"/>
    </row>
    <row r="6" spans="1:34" ht="15.75" customHeight="1">
      <c r="A6" s="120" t="s">
        <v>110</v>
      </c>
      <c r="B6" s="121">
        <f>D6++V6+AB6</f>
        <v>38278</v>
      </c>
      <c r="C6" s="121">
        <f>E6++W6+AC6</f>
        <v>343</v>
      </c>
      <c r="D6" s="121">
        <f>F6+H6+J6+N6+P6+L6+R6+T6</f>
        <v>36739</v>
      </c>
      <c r="E6" s="121">
        <f>G6+I6+K6+O6+Q6+M6+S6+U6</f>
        <v>316</v>
      </c>
      <c r="F6" s="121">
        <v>17486</v>
      </c>
      <c r="G6" s="121">
        <v>20</v>
      </c>
      <c r="H6" s="121">
        <v>15565</v>
      </c>
      <c r="I6" s="121">
        <v>233</v>
      </c>
      <c r="J6" s="121">
        <v>542</v>
      </c>
      <c r="K6" s="121">
        <v>2</v>
      </c>
      <c r="L6" s="49">
        <v>0</v>
      </c>
      <c r="M6" s="49">
        <v>0</v>
      </c>
      <c r="N6" s="121">
        <v>3146</v>
      </c>
      <c r="O6" s="121">
        <v>61</v>
      </c>
      <c r="P6" s="49">
        <v>0</v>
      </c>
      <c r="Q6" s="49">
        <v>0</v>
      </c>
      <c r="R6" s="49">
        <v>0</v>
      </c>
      <c r="S6" s="49">
        <v>0</v>
      </c>
      <c r="T6" s="49">
        <v>0</v>
      </c>
      <c r="U6" s="49">
        <v>0</v>
      </c>
      <c r="V6" s="121">
        <f>+X6+Z6</f>
        <v>411</v>
      </c>
      <c r="W6" s="121">
        <f>+Y6+AA6</f>
        <v>3</v>
      </c>
      <c r="X6" s="49">
        <v>0</v>
      </c>
      <c r="Y6" s="49">
        <v>0</v>
      </c>
      <c r="Z6" s="121">
        <v>411</v>
      </c>
      <c r="AA6" s="121">
        <v>3</v>
      </c>
      <c r="AB6" s="121">
        <f>AD6+AF6</f>
        <v>1128</v>
      </c>
      <c r="AC6" s="121">
        <f>AE6+AG6</f>
        <v>24</v>
      </c>
      <c r="AD6" s="121">
        <v>768</v>
      </c>
      <c r="AE6" s="121">
        <v>14</v>
      </c>
      <c r="AF6" s="121">
        <v>360</v>
      </c>
      <c r="AG6" s="121">
        <v>10</v>
      </c>
      <c r="AH6" s="122"/>
    </row>
    <row r="7" spans="1:34" ht="15.75" customHeight="1">
      <c r="A7" s="120" t="s">
        <v>111</v>
      </c>
      <c r="B7" s="121">
        <v>38022</v>
      </c>
      <c r="C7" s="121">
        <v>349</v>
      </c>
      <c r="D7" s="121">
        <v>35115</v>
      </c>
      <c r="E7" s="121">
        <v>330</v>
      </c>
      <c r="F7" s="121">
        <v>10083</v>
      </c>
      <c r="G7" s="121">
        <v>13</v>
      </c>
      <c r="H7" s="121">
        <v>19609</v>
      </c>
      <c r="I7" s="121">
        <v>247</v>
      </c>
      <c r="J7" s="121">
        <v>523</v>
      </c>
      <c r="K7" s="121">
        <v>1</v>
      </c>
      <c r="L7" s="49">
        <v>0</v>
      </c>
      <c r="M7" s="49">
        <v>0</v>
      </c>
      <c r="N7" s="121">
        <v>4900</v>
      </c>
      <c r="O7" s="121">
        <v>69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  <c r="U7" s="49">
        <v>0</v>
      </c>
      <c r="V7" s="121">
        <v>2162</v>
      </c>
      <c r="W7" s="121">
        <v>7</v>
      </c>
      <c r="X7" s="121">
        <v>1482</v>
      </c>
      <c r="Y7" s="121">
        <v>3</v>
      </c>
      <c r="Z7" s="121">
        <v>680</v>
      </c>
      <c r="AA7" s="121">
        <v>4</v>
      </c>
      <c r="AB7" s="121">
        <v>745</v>
      </c>
      <c r="AC7" s="121">
        <v>12</v>
      </c>
      <c r="AD7" s="123">
        <v>175</v>
      </c>
      <c r="AE7" s="123">
        <v>4</v>
      </c>
      <c r="AF7" s="121">
        <v>570</v>
      </c>
      <c r="AG7" s="121">
        <v>8</v>
      </c>
      <c r="AH7" s="122"/>
    </row>
    <row r="8" spans="1:34" ht="15.75" customHeight="1">
      <c r="A8" s="120" t="s">
        <v>95</v>
      </c>
      <c r="B8" s="121">
        <v>61315</v>
      </c>
      <c r="C8" s="121">
        <v>464</v>
      </c>
      <c r="D8" s="121">
        <v>58284</v>
      </c>
      <c r="E8" s="121">
        <v>427</v>
      </c>
      <c r="F8" s="121">
        <v>29071</v>
      </c>
      <c r="G8" s="121">
        <v>32</v>
      </c>
      <c r="H8" s="121">
        <v>22505</v>
      </c>
      <c r="I8" s="121">
        <v>317</v>
      </c>
      <c r="J8" s="121">
        <v>1667</v>
      </c>
      <c r="K8" s="121">
        <v>5</v>
      </c>
      <c r="L8" s="49">
        <v>0</v>
      </c>
      <c r="M8" s="49">
        <v>0</v>
      </c>
      <c r="N8" s="121">
        <v>5041</v>
      </c>
      <c r="O8" s="121">
        <v>73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121">
        <v>1114</v>
      </c>
      <c r="W8" s="121">
        <v>5</v>
      </c>
      <c r="X8" s="121">
        <v>300</v>
      </c>
      <c r="Y8" s="121">
        <v>1</v>
      </c>
      <c r="Z8" s="121">
        <v>814</v>
      </c>
      <c r="AA8" s="121">
        <v>4</v>
      </c>
      <c r="AB8" s="121">
        <v>1917</v>
      </c>
      <c r="AC8" s="121">
        <v>32</v>
      </c>
      <c r="AD8" s="121">
        <v>1104</v>
      </c>
      <c r="AE8" s="121">
        <v>24</v>
      </c>
      <c r="AF8" s="121">
        <v>813</v>
      </c>
      <c r="AG8" s="121">
        <v>8</v>
      </c>
      <c r="AH8" s="122"/>
    </row>
    <row r="9" spans="1:34" s="134" customFormat="1" ht="15.75" customHeight="1">
      <c r="A9" s="120" t="s">
        <v>93</v>
      </c>
      <c r="B9" s="121">
        <v>72931</v>
      </c>
      <c r="C9" s="121">
        <v>629</v>
      </c>
      <c r="D9" s="121">
        <v>70323</v>
      </c>
      <c r="E9" s="121">
        <v>607</v>
      </c>
      <c r="F9" s="121">
        <v>32658</v>
      </c>
      <c r="G9" s="121">
        <v>41</v>
      </c>
      <c r="H9" s="121">
        <v>29699</v>
      </c>
      <c r="I9" s="121">
        <v>439</v>
      </c>
      <c r="J9" s="121">
        <v>934</v>
      </c>
      <c r="K9" s="121">
        <v>3</v>
      </c>
      <c r="L9" s="49">
        <v>0</v>
      </c>
      <c r="M9" s="49">
        <v>0</v>
      </c>
      <c r="N9" s="121">
        <v>7031</v>
      </c>
      <c r="O9" s="121">
        <v>121</v>
      </c>
      <c r="P9" s="49">
        <v>0</v>
      </c>
      <c r="Q9" s="49">
        <v>0</v>
      </c>
      <c r="R9" s="49">
        <v>0</v>
      </c>
      <c r="S9" s="49">
        <v>0</v>
      </c>
      <c r="T9" s="177">
        <v>1</v>
      </c>
      <c r="U9" s="177">
        <v>3</v>
      </c>
      <c r="V9" s="121">
        <v>839</v>
      </c>
      <c r="W9" s="121">
        <v>4</v>
      </c>
      <c r="X9" s="49">
        <v>0</v>
      </c>
      <c r="Y9" s="49">
        <v>0</v>
      </c>
      <c r="Z9" s="177">
        <v>839</v>
      </c>
      <c r="AA9" s="177">
        <v>4</v>
      </c>
      <c r="AB9" s="121">
        <v>1769</v>
      </c>
      <c r="AC9" s="121">
        <v>18</v>
      </c>
      <c r="AD9" s="177">
        <v>1314</v>
      </c>
      <c r="AE9" s="177">
        <v>12</v>
      </c>
      <c r="AF9" s="121">
        <v>455</v>
      </c>
      <c r="AG9" s="121">
        <v>6</v>
      </c>
      <c r="AH9" s="133"/>
    </row>
    <row r="10" spans="1:34" s="104" customFormat="1" ht="15.75" customHeight="1">
      <c r="A10" s="120" t="s">
        <v>136</v>
      </c>
      <c r="B10" s="121">
        <v>52682</v>
      </c>
      <c r="C10" s="121">
        <v>457</v>
      </c>
      <c r="D10" s="121">
        <v>50621</v>
      </c>
      <c r="E10" s="121">
        <v>431</v>
      </c>
      <c r="F10" s="121">
        <v>10490</v>
      </c>
      <c r="G10" s="121">
        <v>10</v>
      </c>
      <c r="H10" s="121">
        <v>32671</v>
      </c>
      <c r="I10" s="121">
        <v>313</v>
      </c>
      <c r="J10" s="121">
        <v>1326</v>
      </c>
      <c r="K10" s="121">
        <v>3</v>
      </c>
      <c r="L10" s="49">
        <v>0</v>
      </c>
      <c r="M10" s="49">
        <v>0</v>
      </c>
      <c r="N10" s="121">
        <v>5705</v>
      </c>
      <c r="O10" s="121">
        <v>88</v>
      </c>
      <c r="P10" s="49">
        <v>0</v>
      </c>
      <c r="Q10" s="49">
        <v>0</v>
      </c>
      <c r="R10" s="49">
        <v>0</v>
      </c>
      <c r="S10" s="49">
        <v>0</v>
      </c>
      <c r="T10" s="177">
        <v>429</v>
      </c>
      <c r="U10" s="177">
        <v>17</v>
      </c>
      <c r="V10" s="121">
        <v>839</v>
      </c>
      <c r="W10" s="121">
        <v>4</v>
      </c>
      <c r="X10" s="49">
        <v>0</v>
      </c>
      <c r="Y10" s="49">
        <v>0</v>
      </c>
      <c r="Z10" s="177">
        <v>839</v>
      </c>
      <c r="AA10" s="177">
        <v>4</v>
      </c>
      <c r="AB10" s="121">
        <v>1222</v>
      </c>
      <c r="AC10" s="121">
        <v>22</v>
      </c>
      <c r="AD10" s="177">
        <v>973</v>
      </c>
      <c r="AE10" s="177">
        <v>20</v>
      </c>
      <c r="AF10" s="121">
        <v>249</v>
      </c>
      <c r="AG10" s="121">
        <v>2</v>
      </c>
      <c r="AH10" s="126"/>
    </row>
    <row r="11" spans="1:34" s="102" customFormat="1" ht="15.75" customHeight="1">
      <c r="A11" s="120" t="s">
        <v>138</v>
      </c>
      <c r="B11" s="121">
        <v>55542</v>
      </c>
      <c r="C11" s="121">
        <v>466</v>
      </c>
      <c r="D11" s="121">
        <v>53308</v>
      </c>
      <c r="E11" s="121">
        <v>438</v>
      </c>
      <c r="F11" s="121">
        <v>11116</v>
      </c>
      <c r="G11" s="121">
        <v>13</v>
      </c>
      <c r="H11" s="121">
        <v>34052</v>
      </c>
      <c r="I11" s="121">
        <v>329</v>
      </c>
      <c r="J11" s="121">
        <v>864</v>
      </c>
      <c r="K11" s="121">
        <v>2</v>
      </c>
      <c r="L11" s="49">
        <v>0</v>
      </c>
      <c r="M11" s="49">
        <v>0</v>
      </c>
      <c r="N11" s="121">
        <v>7199</v>
      </c>
      <c r="O11" s="121">
        <v>90</v>
      </c>
      <c r="P11" s="49">
        <v>0</v>
      </c>
      <c r="Q11" s="49">
        <v>0</v>
      </c>
      <c r="R11" s="49">
        <v>0</v>
      </c>
      <c r="S11" s="49">
        <v>0</v>
      </c>
      <c r="T11" s="177">
        <v>77</v>
      </c>
      <c r="U11" s="177">
        <v>4</v>
      </c>
      <c r="V11" s="121">
        <v>839</v>
      </c>
      <c r="W11" s="121">
        <v>4</v>
      </c>
      <c r="X11" s="49">
        <v>0</v>
      </c>
      <c r="Y11" s="49">
        <v>0</v>
      </c>
      <c r="Z11" s="177">
        <v>839</v>
      </c>
      <c r="AA11" s="177">
        <v>4</v>
      </c>
      <c r="AB11" s="121">
        <v>1395</v>
      </c>
      <c r="AC11" s="121">
        <v>24</v>
      </c>
      <c r="AD11" s="177">
        <v>521</v>
      </c>
      <c r="AE11" s="177">
        <v>18</v>
      </c>
      <c r="AF11" s="121">
        <v>874</v>
      </c>
      <c r="AG11" s="121">
        <v>6</v>
      </c>
      <c r="AH11" s="126"/>
    </row>
    <row r="12" spans="1:34" s="102" customFormat="1" ht="15.75" customHeight="1">
      <c r="A12" s="120" t="s">
        <v>139</v>
      </c>
      <c r="B12" s="121">
        <v>58267</v>
      </c>
      <c r="C12" s="121">
        <v>522</v>
      </c>
      <c r="D12" s="121">
        <v>55392</v>
      </c>
      <c r="E12" s="121">
        <v>498</v>
      </c>
      <c r="F12" s="121">
        <v>12557</v>
      </c>
      <c r="G12" s="121">
        <v>12</v>
      </c>
      <c r="H12" s="121">
        <v>35904</v>
      </c>
      <c r="I12" s="121">
        <v>381</v>
      </c>
      <c r="J12" s="121">
        <v>1295</v>
      </c>
      <c r="K12" s="121">
        <v>5</v>
      </c>
      <c r="L12" s="49">
        <v>0</v>
      </c>
      <c r="M12" s="49">
        <v>0</v>
      </c>
      <c r="N12" s="121">
        <v>5122</v>
      </c>
      <c r="O12" s="121">
        <v>90</v>
      </c>
      <c r="P12" s="177">
        <v>370</v>
      </c>
      <c r="Q12" s="177">
        <v>1</v>
      </c>
      <c r="R12" s="49">
        <v>0</v>
      </c>
      <c r="S12" s="49">
        <v>0</v>
      </c>
      <c r="T12" s="177">
        <v>144</v>
      </c>
      <c r="U12" s="177">
        <v>9</v>
      </c>
      <c r="V12" s="121">
        <v>839</v>
      </c>
      <c r="W12" s="121">
        <v>4</v>
      </c>
      <c r="X12" s="49">
        <v>0</v>
      </c>
      <c r="Y12" s="49">
        <v>0</v>
      </c>
      <c r="Z12" s="177">
        <v>839</v>
      </c>
      <c r="AA12" s="177">
        <v>4</v>
      </c>
      <c r="AB12" s="121">
        <v>2036</v>
      </c>
      <c r="AC12" s="121">
        <v>20</v>
      </c>
      <c r="AD12" s="177">
        <v>2036</v>
      </c>
      <c r="AE12" s="177">
        <v>20</v>
      </c>
      <c r="AF12" s="226">
        <v>0</v>
      </c>
      <c r="AG12" s="226">
        <v>0</v>
      </c>
      <c r="AH12" s="126"/>
    </row>
    <row r="13" spans="1:48" s="102" customFormat="1" ht="15.75" customHeight="1">
      <c r="A13" s="120" t="s">
        <v>144</v>
      </c>
      <c r="B13" s="302">
        <v>45177</v>
      </c>
      <c r="C13" s="302">
        <v>445</v>
      </c>
      <c r="D13" s="302">
        <v>42880</v>
      </c>
      <c r="E13" s="302">
        <v>438</v>
      </c>
      <c r="F13" s="302">
        <v>2329</v>
      </c>
      <c r="G13" s="302">
        <v>2</v>
      </c>
      <c r="H13" s="302">
        <v>36169</v>
      </c>
      <c r="I13" s="302">
        <v>332</v>
      </c>
      <c r="J13" s="226">
        <v>0</v>
      </c>
      <c r="K13" s="226">
        <v>0</v>
      </c>
      <c r="L13" s="227">
        <v>0</v>
      </c>
      <c r="M13" s="227">
        <v>0</v>
      </c>
      <c r="N13" s="302">
        <v>4188</v>
      </c>
      <c r="O13" s="302">
        <v>94</v>
      </c>
      <c r="P13" s="227">
        <v>0</v>
      </c>
      <c r="Q13" s="227">
        <v>0</v>
      </c>
      <c r="R13" s="227">
        <v>0</v>
      </c>
      <c r="S13" s="227">
        <v>0</v>
      </c>
      <c r="T13" s="304">
        <v>194</v>
      </c>
      <c r="U13" s="304">
        <v>10</v>
      </c>
      <c r="V13" s="302">
        <v>2227</v>
      </c>
      <c r="W13" s="302">
        <v>5</v>
      </c>
      <c r="X13" s="304">
        <v>1387</v>
      </c>
      <c r="Y13" s="304">
        <v>1</v>
      </c>
      <c r="Z13" s="304">
        <v>840</v>
      </c>
      <c r="AA13" s="304">
        <v>4</v>
      </c>
      <c r="AB13" s="302">
        <v>70</v>
      </c>
      <c r="AC13" s="302">
        <v>2</v>
      </c>
      <c r="AD13" s="304">
        <v>70</v>
      </c>
      <c r="AE13" s="304">
        <v>2</v>
      </c>
      <c r="AF13" s="226">
        <v>0</v>
      </c>
      <c r="AG13" s="226">
        <v>0</v>
      </c>
      <c r="AH13" s="182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</row>
    <row r="14" spans="1:48" s="102" customFormat="1" ht="15.75" customHeight="1">
      <c r="A14" s="120" t="s">
        <v>159</v>
      </c>
      <c r="B14" s="302">
        <v>44668</v>
      </c>
      <c r="C14" s="302">
        <v>461</v>
      </c>
      <c r="D14" s="302">
        <v>43616</v>
      </c>
      <c r="E14" s="302">
        <v>453</v>
      </c>
      <c r="F14" s="302">
        <v>1184</v>
      </c>
      <c r="G14" s="302">
        <v>2</v>
      </c>
      <c r="H14" s="302">
        <v>36515</v>
      </c>
      <c r="I14" s="302">
        <v>340</v>
      </c>
      <c r="J14" s="226">
        <v>0</v>
      </c>
      <c r="K14" s="226">
        <v>0</v>
      </c>
      <c r="L14" s="227">
        <v>0</v>
      </c>
      <c r="M14" s="227">
        <v>0</v>
      </c>
      <c r="N14" s="302">
        <v>5400</v>
      </c>
      <c r="O14" s="302">
        <v>96</v>
      </c>
      <c r="P14" s="227">
        <v>0</v>
      </c>
      <c r="Q14" s="227">
        <v>0</v>
      </c>
      <c r="R14" s="304">
        <v>-78</v>
      </c>
      <c r="S14" s="304">
        <v>1</v>
      </c>
      <c r="T14" s="304">
        <v>595</v>
      </c>
      <c r="U14" s="304">
        <v>14</v>
      </c>
      <c r="V14" s="302">
        <v>839</v>
      </c>
      <c r="W14" s="302">
        <v>4</v>
      </c>
      <c r="X14" s="227">
        <v>0</v>
      </c>
      <c r="Y14" s="227">
        <v>0</v>
      </c>
      <c r="Z14" s="304">
        <v>839</v>
      </c>
      <c r="AA14" s="304">
        <v>4</v>
      </c>
      <c r="AB14" s="302">
        <v>213</v>
      </c>
      <c r="AC14" s="302">
        <v>4</v>
      </c>
      <c r="AD14" s="304">
        <v>213</v>
      </c>
      <c r="AE14" s="304">
        <v>4</v>
      </c>
      <c r="AF14" s="226">
        <v>0</v>
      </c>
      <c r="AG14" s="226">
        <v>0</v>
      </c>
      <c r="AH14" s="182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</row>
    <row r="15" spans="1:48" s="102" customFormat="1" ht="15.75" customHeight="1">
      <c r="A15" s="272" t="s">
        <v>164</v>
      </c>
      <c r="B15" s="302">
        <v>47197</v>
      </c>
      <c r="C15" s="302">
        <v>458</v>
      </c>
      <c r="D15" s="302">
        <v>46229</v>
      </c>
      <c r="E15" s="302">
        <v>450</v>
      </c>
      <c r="F15" s="302">
        <v>772</v>
      </c>
      <c r="G15" s="302">
        <v>1</v>
      </c>
      <c r="H15" s="302">
        <v>37491</v>
      </c>
      <c r="I15" s="302">
        <v>337</v>
      </c>
      <c r="J15" s="302">
        <v>572</v>
      </c>
      <c r="K15" s="302">
        <v>1</v>
      </c>
      <c r="L15" s="278">
        <v>0</v>
      </c>
      <c r="M15" s="278">
        <v>0</v>
      </c>
      <c r="N15" s="302">
        <v>6814</v>
      </c>
      <c r="O15" s="302">
        <v>96</v>
      </c>
      <c r="P15" s="278">
        <v>0</v>
      </c>
      <c r="Q15" s="278">
        <v>0</v>
      </c>
      <c r="R15" s="278">
        <v>0</v>
      </c>
      <c r="S15" s="278">
        <v>0</v>
      </c>
      <c r="T15" s="222">
        <v>580</v>
      </c>
      <c r="U15" s="222">
        <v>15</v>
      </c>
      <c r="V15" s="302">
        <v>852</v>
      </c>
      <c r="W15" s="302">
        <v>4</v>
      </c>
      <c r="X15" s="278">
        <v>0</v>
      </c>
      <c r="Y15" s="278">
        <v>0</v>
      </c>
      <c r="Z15" s="222">
        <v>852</v>
      </c>
      <c r="AA15" s="222">
        <v>4</v>
      </c>
      <c r="AB15" s="302">
        <v>116</v>
      </c>
      <c r="AC15" s="302">
        <v>4</v>
      </c>
      <c r="AD15" s="222">
        <v>115</v>
      </c>
      <c r="AE15" s="222">
        <v>2</v>
      </c>
      <c r="AF15" s="302">
        <v>1</v>
      </c>
      <c r="AG15" s="302">
        <v>2</v>
      </c>
      <c r="AH15" s="182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</row>
    <row r="16" spans="1:48" s="102" customFormat="1" ht="15" customHeight="1" hidden="1">
      <c r="A16" s="232" t="s">
        <v>171</v>
      </c>
      <c r="B16" s="303">
        <f aca="true" t="shared" si="0" ref="B16:B21">D16++V16+AB16</f>
        <v>45216</v>
      </c>
      <c r="C16" s="303">
        <f aca="true" t="shared" si="1" ref="C16:C21">E16++W16++AC16</f>
        <v>453</v>
      </c>
      <c r="D16" s="303">
        <f aca="true" t="shared" si="2" ref="D16:D21">F16+H16+J16+N16+P16+L16+R16+T16</f>
        <v>44248</v>
      </c>
      <c r="E16" s="303">
        <f aca="true" t="shared" si="3" ref="E16:E21">G16+I16+K16+O16+Q16+M16+S16+U16</f>
        <v>445</v>
      </c>
      <c r="F16" s="303">
        <v>772</v>
      </c>
      <c r="G16" s="303">
        <v>1</v>
      </c>
      <c r="H16" s="303">
        <v>37234</v>
      </c>
      <c r="I16" s="303">
        <v>335</v>
      </c>
      <c r="J16" s="195">
        <v>0</v>
      </c>
      <c r="K16" s="195">
        <v>0</v>
      </c>
      <c r="L16" s="196">
        <v>0</v>
      </c>
      <c r="M16" s="196">
        <v>0</v>
      </c>
      <c r="N16" s="303">
        <v>5662</v>
      </c>
      <c r="O16" s="303">
        <v>94</v>
      </c>
      <c r="P16" s="196">
        <v>0</v>
      </c>
      <c r="Q16" s="196">
        <v>0</v>
      </c>
      <c r="R16" s="196">
        <v>0</v>
      </c>
      <c r="S16" s="196">
        <v>0</v>
      </c>
      <c r="T16" s="295">
        <v>580</v>
      </c>
      <c r="U16" s="295">
        <v>15</v>
      </c>
      <c r="V16" s="303">
        <f aca="true" t="shared" si="4" ref="V16:V21">+X16+Z16</f>
        <v>852</v>
      </c>
      <c r="W16" s="303">
        <f aca="true" t="shared" si="5" ref="W16:W21">+Y16+AA16</f>
        <v>4</v>
      </c>
      <c r="X16" s="196">
        <v>0</v>
      </c>
      <c r="Y16" s="196">
        <v>0</v>
      </c>
      <c r="Z16" s="295">
        <v>852</v>
      </c>
      <c r="AA16" s="295">
        <v>4</v>
      </c>
      <c r="AB16" s="303">
        <f aca="true" t="shared" si="6" ref="AB16:AB21">AD16+AF16</f>
        <v>116</v>
      </c>
      <c r="AC16" s="303">
        <f aca="true" t="shared" si="7" ref="AC16:AC21">AE16+AG16</f>
        <v>4</v>
      </c>
      <c r="AD16" s="295">
        <v>115</v>
      </c>
      <c r="AE16" s="295">
        <v>2</v>
      </c>
      <c r="AF16" s="303">
        <v>1</v>
      </c>
      <c r="AG16" s="303">
        <v>2</v>
      </c>
      <c r="AH16" s="182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</row>
    <row r="17" spans="1:48" s="102" customFormat="1" ht="15" customHeight="1" hidden="1">
      <c r="A17" s="232" t="s">
        <v>172</v>
      </c>
      <c r="B17" s="303">
        <f t="shared" si="0"/>
        <v>45376</v>
      </c>
      <c r="C17" s="303">
        <f t="shared" si="1"/>
        <v>454</v>
      </c>
      <c r="D17" s="303">
        <f t="shared" si="2"/>
        <v>44408</v>
      </c>
      <c r="E17" s="303">
        <f t="shared" si="3"/>
        <v>446</v>
      </c>
      <c r="F17" s="303">
        <v>772</v>
      </c>
      <c r="G17" s="303">
        <v>1</v>
      </c>
      <c r="H17" s="303">
        <v>37394</v>
      </c>
      <c r="I17" s="303">
        <v>336</v>
      </c>
      <c r="J17" s="195">
        <v>0</v>
      </c>
      <c r="K17" s="195">
        <v>0</v>
      </c>
      <c r="L17" s="196">
        <v>0</v>
      </c>
      <c r="M17" s="196">
        <v>0</v>
      </c>
      <c r="N17" s="303">
        <v>5662</v>
      </c>
      <c r="O17" s="303">
        <v>94</v>
      </c>
      <c r="P17" s="196">
        <v>0</v>
      </c>
      <c r="Q17" s="196">
        <v>0</v>
      </c>
      <c r="R17" s="196">
        <v>0</v>
      </c>
      <c r="S17" s="196">
        <v>0</v>
      </c>
      <c r="T17" s="295">
        <v>580</v>
      </c>
      <c r="U17" s="295">
        <v>15</v>
      </c>
      <c r="V17" s="303">
        <f t="shared" si="4"/>
        <v>852</v>
      </c>
      <c r="W17" s="303">
        <f t="shared" si="5"/>
        <v>4</v>
      </c>
      <c r="X17" s="196">
        <v>0</v>
      </c>
      <c r="Y17" s="196">
        <v>0</v>
      </c>
      <c r="Z17" s="295">
        <v>852</v>
      </c>
      <c r="AA17" s="295">
        <v>4</v>
      </c>
      <c r="AB17" s="303">
        <f t="shared" si="6"/>
        <v>116</v>
      </c>
      <c r="AC17" s="303">
        <f t="shared" si="7"/>
        <v>4</v>
      </c>
      <c r="AD17" s="295">
        <v>115</v>
      </c>
      <c r="AE17" s="295">
        <v>2</v>
      </c>
      <c r="AF17" s="303">
        <v>1</v>
      </c>
      <c r="AG17" s="303">
        <v>2</v>
      </c>
      <c r="AH17" s="182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</row>
    <row r="18" spans="1:48" s="102" customFormat="1" ht="15" customHeight="1" hidden="1">
      <c r="A18" s="232" t="s">
        <v>173</v>
      </c>
      <c r="B18" s="303">
        <f t="shared" si="0"/>
        <v>46528</v>
      </c>
      <c r="C18" s="303">
        <f t="shared" si="1"/>
        <v>456</v>
      </c>
      <c r="D18" s="303">
        <f t="shared" si="2"/>
        <v>45560</v>
      </c>
      <c r="E18" s="303">
        <f t="shared" si="3"/>
        <v>448</v>
      </c>
      <c r="F18" s="303">
        <v>772</v>
      </c>
      <c r="G18" s="303">
        <v>1</v>
      </c>
      <c r="H18" s="303">
        <v>37394</v>
      </c>
      <c r="I18" s="303">
        <v>336</v>
      </c>
      <c r="J18" s="195">
        <v>0</v>
      </c>
      <c r="K18" s="195">
        <v>0</v>
      </c>
      <c r="L18" s="196">
        <v>0</v>
      </c>
      <c r="M18" s="196">
        <v>0</v>
      </c>
      <c r="N18" s="303">
        <v>6814</v>
      </c>
      <c r="O18" s="303">
        <v>96</v>
      </c>
      <c r="P18" s="196">
        <v>0</v>
      </c>
      <c r="Q18" s="196">
        <v>0</v>
      </c>
      <c r="R18" s="196">
        <v>0</v>
      </c>
      <c r="S18" s="196">
        <v>0</v>
      </c>
      <c r="T18" s="295">
        <v>580</v>
      </c>
      <c r="U18" s="295">
        <v>15</v>
      </c>
      <c r="V18" s="303">
        <f t="shared" si="4"/>
        <v>852</v>
      </c>
      <c r="W18" s="303">
        <f t="shared" si="5"/>
        <v>4</v>
      </c>
      <c r="X18" s="196">
        <v>0</v>
      </c>
      <c r="Y18" s="196">
        <v>0</v>
      </c>
      <c r="Z18" s="295">
        <v>852</v>
      </c>
      <c r="AA18" s="295">
        <v>4</v>
      </c>
      <c r="AB18" s="303">
        <f t="shared" si="6"/>
        <v>116</v>
      </c>
      <c r="AC18" s="303">
        <f t="shared" si="7"/>
        <v>4</v>
      </c>
      <c r="AD18" s="295">
        <v>115</v>
      </c>
      <c r="AE18" s="295">
        <v>2</v>
      </c>
      <c r="AF18" s="303">
        <v>1</v>
      </c>
      <c r="AG18" s="303">
        <v>2</v>
      </c>
      <c r="AH18" s="182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</row>
    <row r="19" spans="1:48" s="102" customFormat="1" ht="15" customHeight="1" hidden="1">
      <c r="A19" s="232" t="s">
        <v>174</v>
      </c>
      <c r="B19" s="303">
        <f t="shared" si="0"/>
        <v>47197</v>
      </c>
      <c r="C19" s="303">
        <f t="shared" si="1"/>
        <v>458</v>
      </c>
      <c r="D19" s="303">
        <f t="shared" si="2"/>
        <v>46229</v>
      </c>
      <c r="E19" s="303">
        <f t="shared" si="3"/>
        <v>450</v>
      </c>
      <c r="F19" s="303">
        <v>772</v>
      </c>
      <c r="G19" s="303">
        <v>1</v>
      </c>
      <c r="H19" s="303">
        <v>37491</v>
      </c>
      <c r="I19" s="303">
        <v>337</v>
      </c>
      <c r="J19" s="303">
        <v>572</v>
      </c>
      <c r="K19" s="303">
        <v>1</v>
      </c>
      <c r="L19" s="196">
        <v>0</v>
      </c>
      <c r="M19" s="196">
        <v>0</v>
      </c>
      <c r="N19" s="303">
        <v>6814</v>
      </c>
      <c r="O19" s="303">
        <v>96</v>
      </c>
      <c r="P19" s="196">
        <v>0</v>
      </c>
      <c r="Q19" s="196">
        <v>0</v>
      </c>
      <c r="R19" s="196">
        <v>0</v>
      </c>
      <c r="S19" s="196">
        <v>0</v>
      </c>
      <c r="T19" s="295">
        <v>580</v>
      </c>
      <c r="U19" s="295">
        <v>15</v>
      </c>
      <c r="V19" s="303">
        <f t="shared" si="4"/>
        <v>852</v>
      </c>
      <c r="W19" s="303">
        <f t="shared" si="5"/>
        <v>4</v>
      </c>
      <c r="X19" s="196">
        <v>0</v>
      </c>
      <c r="Y19" s="196">
        <v>0</v>
      </c>
      <c r="Z19" s="295">
        <v>852</v>
      </c>
      <c r="AA19" s="295">
        <v>4</v>
      </c>
      <c r="AB19" s="303">
        <f t="shared" si="6"/>
        <v>116</v>
      </c>
      <c r="AC19" s="303">
        <f t="shared" si="7"/>
        <v>4</v>
      </c>
      <c r="AD19" s="295">
        <v>115</v>
      </c>
      <c r="AE19" s="295">
        <v>2</v>
      </c>
      <c r="AF19" s="303">
        <v>1</v>
      </c>
      <c r="AG19" s="303">
        <v>2</v>
      </c>
      <c r="AH19" s="182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</row>
    <row r="20" spans="1:48" s="102" customFormat="1" ht="15" customHeight="1" hidden="1">
      <c r="A20" s="232" t="s">
        <v>176</v>
      </c>
      <c r="B20" s="303">
        <f t="shared" si="0"/>
        <v>47197</v>
      </c>
      <c r="C20" s="303">
        <f t="shared" si="1"/>
        <v>458</v>
      </c>
      <c r="D20" s="303">
        <f t="shared" si="2"/>
        <v>46229</v>
      </c>
      <c r="E20" s="303">
        <f t="shared" si="3"/>
        <v>450</v>
      </c>
      <c r="F20" s="303">
        <v>772</v>
      </c>
      <c r="G20" s="303">
        <v>1</v>
      </c>
      <c r="H20" s="303">
        <v>37491</v>
      </c>
      <c r="I20" s="303">
        <v>337</v>
      </c>
      <c r="J20" s="303">
        <v>572</v>
      </c>
      <c r="K20" s="303">
        <v>1</v>
      </c>
      <c r="L20" s="196">
        <v>0</v>
      </c>
      <c r="M20" s="196">
        <v>0</v>
      </c>
      <c r="N20" s="303">
        <v>6814</v>
      </c>
      <c r="O20" s="303">
        <v>96</v>
      </c>
      <c r="P20" s="196">
        <v>0</v>
      </c>
      <c r="Q20" s="196">
        <v>0</v>
      </c>
      <c r="R20" s="196">
        <v>0</v>
      </c>
      <c r="S20" s="196">
        <v>0</v>
      </c>
      <c r="T20" s="295">
        <v>580</v>
      </c>
      <c r="U20" s="295">
        <v>15</v>
      </c>
      <c r="V20" s="303">
        <f t="shared" si="4"/>
        <v>852</v>
      </c>
      <c r="W20" s="303">
        <f t="shared" si="5"/>
        <v>4</v>
      </c>
      <c r="X20" s="196">
        <v>0</v>
      </c>
      <c r="Y20" s="196">
        <v>0</v>
      </c>
      <c r="Z20" s="295">
        <v>852</v>
      </c>
      <c r="AA20" s="295">
        <v>4</v>
      </c>
      <c r="AB20" s="303">
        <f t="shared" si="6"/>
        <v>116</v>
      </c>
      <c r="AC20" s="303">
        <f t="shared" si="7"/>
        <v>4</v>
      </c>
      <c r="AD20" s="295">
        <v>115</v>
      </c>
      <c r="AE20" s="295">
        <v>2</v>
      </c>
      <c r="AF20" s="303">
        <v>1</v>
      </c>
      <c r="AG20" s="303">
        <v>2</v>
      </c>
      <c r="AH20" s="182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</row>
    <row r="21" spans="1:48" s="102" customFormat="1" ht="15" customHeight="1" hidden="1">
      <c r="A21" s="232" t="s">
        <v>178</v>
      </c>
      <c r="B21" s="303">
        <f t="shared" si="0"/>
        <v>47197</v>
      </c>
      <c r="C21" s="303">
        <f t="shared" si="1"/>
        <v>458</v>
      </c>
      <c r="D21" s="303">
        <f t="shared" si="2"/>
        <v>46229</v>
      </c>
      <c r="E21" s="303">
        <f t="shared" si="3"/>
        <v>450</v>
      </c>
      <c r="F21" s="303">
        <v>772</v>
      </c>
      <c r="G21" s="303">
        <v>1</v>
      </c>
      <c r="H21" s="303">
        <v>37491</v>
      </c>
      <c r="I21" s="303">
        <v>337</v>
      </c>
      <c r="J21" s="303">
        <v>572</v>
      </c>
      <c r="K21" s="303">
        <v>1</v>
      </c>
      <c r="L21" s="196">
        <v>0</v>
      </c>
      <c r="M21" s="196">
        <v>0</v>
      </c>
      <c r="N21" s="303">
        <v>6814</v>
      </c>
      <c r="O21" s="303">
        <v>96</v>
      </c>
      <c r="P21" s="196">
        <v>0</v>
      </c>
      <c r="Q21" s="196">
        <v>0</v>
      </c>
      <c r="R21" s="196">
        <v>0</v>
      </c>
      <c r="S21" s="196">
        <v>0</v>
      </c>
      <c r="T21" s="295">
        <v>580</v>
      </c>
      <c r="U21" s="295">
        <v>15</v>
      </c>
      <c r="V21" s="303">
        <f t="shared" si="4"/>
        <v>852</v>
      </c>
      <c r="W21" s="303">
        <f t="shared" si="5"/>
        <v>4</v>
      </c>
      <c r="X21" s="196">
        <v>0</v>
      </c>
      <c r="Y21" s="196">
        <v>0</v>
      </c>
      <c r="Z21" s="295">
        <v>852</v>
      </c>
      <c r="AA21" s="295">
        <v>4</v>
      </c>
      <c r="AB21" s="303">
        <f t="shared" si="6"/>
        <v>116</v>
      </c>
      <c r="AC21" s="303">
        <f t="shared" si="7"/>
        <v>4</v>
      </c>
      <c r="AD21" s="295">
        <v>115</v>
      </c>
      <c r="AE21" s="295">
        <v>2</v>
      </c>
      <c r="AF21" s="303">
        <v>1</v>
      </c>
      <c r="AG21" s="303">
        <v>2</v>
      </c>
      <c r="AH21" s="182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</row>
    <row r="22" spans="1:48" s="102" customFormat="1" ht="15.75" customHeight="1">
      <c r="A22" s="272" t="s">
        <v>181</v>
      </c>
      <c r="B22" s="302">
        <f>B34</f>
        <v>45484.051</v>
      </c>
      <c r="C22" s="302">
        <f aca="true" t="shared" si="8" ref="C22:AG22">C34</f>
        <v>474</v>
      </c>
      <c r="D22" s="302">
        <f t="shared" si="8"/>
        <v>44506.051</v>
      </c>
      <c r="E22" s="302">
        <f t="shared" si="8"/>
        <v>468</v>
      </c>
      <c r="F22" s="302">
        <f t="shared" si="8"/>
        <v>235</v>
      </c>
      <c r="G22" s="302">
        <f t="shared" si="8"/>
        <v>1</v>
      </c>
      <c r="H22" s="302">
        <f t="shared" si="8"/>
        <v>37383</v>
      </c>
      <c r="I22" s="302">
        <f t="shared" si="8"/>
        <v>349</v>
      </c>
      <c r="J22" s="196">
        <v>0</v>
      </c>
      <c r="K22" s="196">
        <v>0</v>
      </c>
      <c r="L22" s="196">
        <v>0</v>
      </c>
      <c r="M22" s="196">
        <v>0</v>
      </c>
      <c r="N22" s="302">
        <f t="shared" si="8"/>
        <v>6048.051</v>
      </c>
      <c r="O22" s="302">
        <f t="shared" si="8"/>
        <v>99</v>
      </c>
      <c r="P22" s="196">
        <v>0</v>
      </c>
      <c r="Q22" s="196">
        <v>0</v>
      </c>
      <c r="R22" s="302">
        <f t="shared" si="8"/>
        <v>114</v>
      </c>
      <c r="S22" s="302">
        <f t="shared" si="8"/>
        <v>1</v>
      </c>
      <c r="T22" s="302">
        <f t="shared" si="8"/>
        <v>726</v>
      </c>
      <c r="U22" s="302">
        <f t="shared" si="8"/>
        <v>18</v>
      </c>
      <c r="V22" s="302">
        <f t="shared" si="8"/>
        <v>838</v>
      </c>
      <c r="W22" s="302">
        <f t="shared" si="8"/>
        <v>4</v>
      </c>
      <c r="X22" s="196">
        <v>0</v>
      </c>
      <c r="Y22" s="196">
        <v>0</v>
      </c>
      <c r="Z22" s="302">
        <f t="shared" si="8"/>
        <v>838</v>
      </c>
      <c r="AA22" s="302">
        <f t="shared" si="8"/>
        <v>4</v>
      </c>
      <c r="AB22" s="302">
        <f t="shared" si="8"/>
        <v>139</v>
      </c>
      <c r="AC22" s="302">
        <f t="shared" si="8"/>
        <v>2</v>
      </c>
      <c r="AD22" s="302">
        <f t="shared" si="8"/>
        <v>139</v>
      </c>
      <c r="AE22" s="302">
        <f t="shared" si="8"/>
        <v>2</v>
      </c>
      <c r="AF22" s="196">
        <f t="shared" si="8"/>
        <v>0</v>
      </c>
      <c r="AG22" s="196">
        <f t="shared" si="8"/>
        <v>0</v>
      </c>
      <c r="AH22" s="182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</row>
    <row r="23" spans="1:48" s="102" customFormat="1" ht="15.75" customHeight="1" hidden="1">
      <c r="A23" s="232" t="s">
        <v>179</v>
      </c>
      <c r="B23" s="303">
        <f aca="true" t="shared" si="9" ref="B23:B28">D23++V23+AB23</f>
        <v>21719</v>
      </c>
      <c r="C23" s="303">
        <f aca="true" t="shared" si="10" ref="C23:C28">E23++W23++AC23</f>
        <v>220</v>
      </c>
      <c r="D23" s="303">
        <f aca="true" t="shared" si="11" ref="D23:E28">F23+H23+J23+N23+P23+L23+R23+T23</f>
        <v>21719</v>
      </c>
      <c r="E23" s="303">
        <f t="shared" si="11"/>
        <v>220</v>
      </c>
      <c r="F23" s="195">
        <v>0</v>
      </c>
      <c r="G23" s="195">
        <v>0</v>
      </c>
      <c r="H23" s="303">
        <v>19112</v>
      </c>
      <c r="I23" s="303">
        <v>166</v>
      </c>
      <c r="J23" s="195">
        <v>0</v>
      </c>
      <c r="K23" s="195">
        <v>0</v>
      </c>
      <c r="L23" s="196">
        <v>0</v>
      </c>
      <c r="M23" s="196">
        <v>0</v>
      </c>
      <c r="N23" s="303">
        <v>2330</v>
      </c>
      <c r="O23" s="303">
        <v>47</v>
      </c>
      <c r="P23" s="196">
        <v>0</v>
      </c>
      <c r="Q23" s="196">
        <v>0</v>
      </c>
      <c r="R23" s="196">
        <v>0</v>
      </c>
      <c r="S23" s="196">
        <v>0</v>
      </c>
      <c r="T23" s="295">
        <v>277</v>
      </c>
      <c r="U23" s="295">
        <v>7</v>
      </c>
      <c r="V23" s="195">
        <f aca="true" t="shared" si="12" ref="V23:W26">+X23+Z23</f>
        <v>0</v>
      </c>
      <c r="W23" s="195">
        <f t="shared" si="12"/>
        <v>0</v>
      </c>
      <c r="X23" s="196">
        <v>0</v>
      </c>
      <c r="Y23" s="196">
        <v>0</v>
      </c>
      <c r="Z23" s="196">
        <v>0</v>
      </c>
      <c r="AA23" s="196">
        <v>0</v>
      </c>
      <c r="AB23" s="195">
        <f aca="true" t="shared" si="13" ref="AB23:AC27">AD23+AF23</f>
        <v>0</v>
      </c>
      <c r="AC23" s="195">
        <f t="shared" si="13"/>
        <v>0</v>
      </c>
      <c r="AD23" s="196">
        <v>0</v>
      </c>
      <c r="AE23" s="196">
        <v>0</v>
      </c>
      <c r="AF23" s="195">
        <v>0</v>
      </c>
      <c r="AG23" s="195">
        <v>0</v>
      </c>
      <c r="AH23" s="182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</row>
    <row r="24" spans="1:48" s="102" customFormat="1" ht="15.75" customHeight="1" hidden="1">
      <c r="A24" s="232" t="s">
        <v>183</v>
      </c>
      <c r="B24" s="303">
        <f t="shared" si="9"/>
        <v>23187</v>
      </c>
      <c r="C24" s="303">
        <f t="shared" si="10"/>
        <v>224</v>
      </c>
      <c r="D24" s="303">
        <f t="shared" si="11"/>
        <v>23187</v>
      </c>
      <c r="E24" s="303">
        <f t="shared" si="11"/>
        <v>224</v>
      </c>
      <c r="F24" s="195">
        <v>0</v>
      </c>
      <c r="G24" s="195">
        <v>0</v>
      </c>
      <c r="H24" s="303">
        <v>19169</v>
      </c>
      <c r="I24" s="303">
        <v>167</v>
      </c>
      <c r="J24" s="195">
        <v>0</v>
      </c>
      <c r="K24" s="195">
        <v>0</v>
      </c>
      <c r="L24" s="196">
        <v>0</v>
      </c>
      <c r="M24" s="196">
        <v>0</v>
      </c>
      <c r="N24" s="303">
        <v>3692</v>
      </c>
      <c r="O24" s="303">
        <v>49</v>
      </c>
      <c r="P24" s="196">
        <v>0</v>
      </c>
      <c r="Q24" s="196">
        <v>0</v>
      </c>
      <c r="R24" s="196">
        <v>0</v>
      </c>
      <c r="S24" s="196">
        <v>0</v>
      </c>
      <c r="T24" s="295">
        <v>326</v>
      </c>
      <c r="U24" s="295">
        <v>8</v>
      </c>
      <c r="V24" s="195">
        <f t="shared" si="12"/>
        <v>0</v>
      </c>
      <c r="W24" s="195">
        <f t="shared" si="12"/>
        <v>0</v>
      </c>
      <c r="X24" s="196">
        <v>0</v>
      </c>
      <c r="Y24" s="196">
        <v>0</v>
      </c>
      <c r="Z24" s="196">
        <v>0</v>
      </c>
      <c r="AA24" s="196">
        <v>0</v>
      </c>
      <c r="AB24" s="195">
        <f t="shared" si="13"/>
        <v>0</v>
      </c>
      <c r="AC24" s="195">
        <f t="shared" si="13"/>
        <v>0</v>
      </c>
      <c r="AD24" s="196">
        <v>0</v>
      </c>
      <c r="AE24" s="196">
        <v>0</v>
      </c>
      <c r="AF24" s="195">
        <v>0</v>
      </c>
      <c r="AG24" s="195">
        <v>0</v>
      </c>
      <c r="AH24" s="182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</row>
    <row r="25" spans="1:48" s="102" customFormat="1" ht="15.75" customHeight="1" hidden="1">
      <c r="A25" s="232" t="s">
        <v>186</v>
      </c>
      <c r="B25" s="303">
        <f t="shared" si="9"/>
        <v>23495</v>
      </c>
      <c r="C25" s="303">
        <f t="shared" si="10"/>
        <v>229</v>
      </c>
      <c r="D25" s="303">
        <f t="shared" si="11"/>
        <v>23356</v>
      </c>
      <c r="E25" s="303">
        <f t="shared" si="11"/>
        <v>227</v>
      </c>
      <c r="F25" s="195">
        <v>0</v>
      </c>
      <c r="G25" s="195">
        <v>0</v>
      </c>
      <c r="H25" s="303">
        <v>19223</v>
      </c>
      <c r="I25" s="303">
        <v>169</v>
      </c>
      <c r="J25" s="195">
        <v>0</v>
      </c>
      <c r="K25" s="195">
        <v>0</v>
      </c>
      <c r="L25" s="196">
        <v>0</v>
      </c>
      <c r="M25" s="196">
        <v>0</v>
      </c>
      <c r="N25" s="303">
        <v>3693</v>
      </c>
      <c r="O25" s="303">
        <v>49</v>
      </c>
      <c r="P25" s="196">
        <v>0</v>
      </c>
      <c r="Q25" s="196">
        <v>0</v>
      </c>
      <c r="R25" s="295">
        <v>114</v>
      </c>
      <c r="S25" s="295">
        <v>1</v>
      </c>
      <c r="T25" s="295">
        <v>326</v>
      </c>
      <c r="U25" s="295">
        <v>8</v>
      </c>
      <c r="V25" s="195">
        <f t="shared" si="12"/>
        <v>0</v>
      </c>
      <c r="W25" s="195">
        <f t="shared" si="12"/>
        <v>0</v>
      </c>
      <c r="X25" s="196">
        <v>0</v>
      </c>
      <c r="Y25" s="196">
        <v>0</v>
      </c>
      <c r="Z25" s="196">
        <v>0</v>
      </c>
      <c r="AA25" s="196">
        <v>0</v>
      </c>
      <c r="AB25" s="303">
        <f t="shared" si="13"/>
        <v>139</v>
      </c>
      <c r="AC25" s="303">
        <f t="shared" si="13"/>
        <v>2</v>
      </c>
      <c r="AD25" s="295">
        <v>139</v>
      </c>
      <c r="AE25" s="295">
        <v>2</v>
      </c>
      <c r="AF25" s="195">
        <v>0</v>
      </c>
      <c r="AG25" s="195">
        <v>0</v>
      </c>
      <c r="AH25" s="182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</row>
    <row r="26" spans="1:48" s="102" customFormat="1" ht="15.75" customHeight="1" hidden="1">
      <c r="A26" s="232" t="s">
        <v>187</v>
      </c>
      <c r="B26" s="303">
        <f t="shared" si="9"/>
        <v>22494</v>
      </c>
      <c r="C26" s="303">
        <f t="shared" si="10"/>
        <v>233</v>
      </c>
      <c r="D26" s="303">
        <f t="shared" si="11"/>
        <v>22355</v>
      </c>
      <c r="E26" s="303">
        <f t="shared" si="11"/>
        <v>231</v>
      </c>
      <c r="F26" s="195">
        <v>0</v>
      </c>
      <c r="G26" s="195">
        <v>0</v>
      </c>
      <c r="H26" s="303">
        <v>18222</v>
      </c>
      <c r="I26" s="303">
        <v>173</v>
      </c>
      <c r="J26" s="195">
        <v>0</v>
      </c>
      <c r="K26" s="195">
        <v>0</v>
      </c>
      <c r="L26" s="196">
        <v>0</v>
      </c>
      <c r="M26" s="196">
        <v>0</v>
      </c>
      <c r="N26" s="303">
        <v>3693</v>
      </c>
      <c r="O26" s="303">
        <v>49</v>
      </c>
      <c r="P26" s="196">
        <v>0</v>
      </c>
      <c r="Q26" s="196">
        <v>0</v>
      </c>
      <c r="R26" s="295">
        <v>114</v>
      </c>
      <c r="S26" s="295">
        <v>1</v>
      </c>
      <c r="T26" s="295">
        <v>326</v>
      </c>
      <c r="U26" s="295">
        <v>8</v>
      </c>
      <c r="V26" s="195">
        <f t="shared" si="12"/>
        <v>0</v>
      </c>
      <c r="W26" s="195">
        <f t="shared" si="12"/>
        <v>0</v>
      </c>
      <c r="X26" s="196">
        <v>0</v>
      </c>
      <c r="Y26" s="196">
        <v>0</v>
      </c>
      <c r="Z26" s="196">
        <v>0</v>
      </c>
      <c r="AA26" s="196">
        <v>0</v>
      </c>
      <c r="AB26" s="303">
        <f t="shared" si="13"/>
        <v>139</v>
      </c>
      <c r="AC26" s="303">
        <f t="shared" si="13"/>
        <v>2</v>
      </c>
      <c r="AD26" s="295">
        <v>139</v>
      </c>
      <c r="AE26" s="295">
        <v>2</v>
      </c>
      <c r="AF26" s="195">
        <v>0</v>
      </c>
      <c r="AG26" s="195">
        <v>0</v>
      </c>
      <c r="AH26" s="182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  <c r="AV26" s="183"/>
    </row>
    <row r="27" spans="1:48" s="102" customFormat="1" ht="15.75" customHeight="1" hidden="1">
      <c r="A27" s="232" t="s">
        <v>188</v>
      </c>
      <c r="B27" s="303">
        <f t="shared" si="9"/>
        <v>22716</v>
      </c>
      <c r="C27" s="303">
        <f t="shared" si="10"/>
        <v>239</v>
      </c>
      <c r="D27" s="303">
        <f t="shared" si="11"/>
        <v>22576</v>
      </c>
      <c r="E27" s="303">
        <f t="shared" si="11"/>
        <v>237</v>
      </c>
      <c r="F27" s="303">
        <v>235</v>
      </c>
      <c r="G27" s="303">
        <v>1</v>
      </c>
      <c r="H27" s="303">
        <v>18208</v>
      </c>
      <c r="I27" s="303">
        <v>178</v>
      </c>
      <c r="J27" s="195">
        <v>0</v>
      </c>
      <c r="K27" s="195">
        <v>0</v>
      </c>
      <c r="L27" s="196">
        <v>0</v>
      </c>
      <c r="M27" s="196">
        <v>0</v>
      </c>
      <c r="N27" s="303">
        <v>3693</v>
      </c>
      <c r="O27" s="303">
        <v>49</v>
      </c>
      <c r="P27" s="196">
        <v>0</v>
      </c>
      <c r="Q27" s="196">
        <v>0</v>
      </c>
      <c r="R27" s="295">
        <v>114</v>
      </c>
      <c r="S27" s="295">
        <v>1</v>
      </c>
      <c r="T27" s="295">
        <v>326</v>
      </c>
      <c r="U27" s="295">
        <v>8</v>
      </c>
      <c r="V27" s="195">
        <f aca="true" t="shared" si="14" ref="V27:W29">+X27+Z27</f>
        <v>0</v>
      </c>
      <c r="W27" s="195">
        <f t="shared" si="14"/>
        <v>0</v>
      </c>
      <c r="X27" s="196">
        <v>0</v>
      </c>
      <c r="Y27" s="196">
        <v>0</v>
      </c>
      <c r="Z27" s="196">
        <v>0</v>
      </c>
      <c r="AA27" s="196">
        <v>0</v>
      </c>
      <c r="AB27" s="303">
        <f t="shared" si="13"/>
        <v>140</v>
      </c>
      <c r="AC27" s="303">
        <f t="shared" si="13"/>
        <v>2</v>
      </c>
      <c r="AD27" s="295">
        <v>140</v>
      </c>
      <c r="AE27" s="295">
        <v>2</v>
      </c>
      <c r="AF27" s="195">
        <v>0</v>
      </c>
      <c r="AG27" s="195">
        <v>0</v>
      </c>
      <c r="AH27" s="182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3"/>
    </row>
    <row r="28" spans="1:48" s="102" customFormat="1" ht="15.75" customHeight="1" hidden="1">
      <c r="A28" s="232" t="s">
        <v>189</v>
      </c>
      <c r="B28" s="303">
        <f t="shared" si="9"/>
        <v>22715</v>
      </c>
      <c r="C28" s="303">
        <f t="shared" si="10"/>
        <v>239</v>
      </c>
      <c r="D28" s="303">
        <f t="shared" si="11"/>
        <v>22576</v>
      </c>
      <c r="E28" s="303">
        <f aca="true" t="shared" si="15" ref="E28:E38">G28+I28+K28+O28+Q28+M28+S28+U28</f>
        <v>237</v>
      </c>
      <c r="F28" s="303">
        <v>235</v>
      </c>
      <c r="G28" s="303">
        <v>1</v>
      </c>
      <c r="H28" s="303">
        <v>18208</v>
      </c>
      <c r="I28" s="303">
        <v>178</v>
      </c>
      <c r="J28" s="195">
        <v>0</v>
      </c>
      <c r="K28" s="195">
        <v>0</v>
      </c>
      <c r="L28" s="196">
        <v>0</v>
      </c>
      <c r="M28" s="196">
        <v>0</v>
      </c>
      <c r="N28" s="303">
        <v>3693</v>
      </c>
      <c r="O28" s="303">
        <v>49</v>
      </c>
      <c r="P28" s="196">
        <v>0</v>
      </c>
      <c r="Q28" s="196">
        <v>0</v>
      </c>
      <c r="R28" s="295">
        <v>114</v>
      </c>
      <c r="S28" s="295">
        <v>1</v>
      </c>
      <c r="T28" s="295">
        <v>326</v>
      </c>
      <c r="U28" s="295">
        <v>8</v>
      </c>
      <c r="V28" s="195">
        <f t="shared" si="14"/>
        <v>0</v>
      </c>
      <c r="W28" s="195">
        <f t="shared" si="14"/>
        <v>0</v>
      </c>
      <c r="X28" s="196">
        <v>0</v>
      </c>
      <c r="Y28" s="196">
        <v>0</v>
      </c>
      <c r="Z28" s="196">
        <v>0</v>
      </c>
      <c r="AA28" s="196">
        <v>0</v>
      </c>
      <c r="AB28" s="303">
        <f aca="true" t="shared" si="16" ref="AB28:AC38">AD28+AF28</f>
        <v>139</v>
      </c>
      <c r="AC28" s="303">
        <f t="shared" si="16"/>
        <v>2</v>
      </c>
      <c r="AD28" s="295">
        <v>139</v>
      </c>
      <c r="AE28" s="295">
        <v>2</v>
      </c>
      <c r="AF28" s="195">
        <v>0</v>
      </c>
      <c r="AG28" s="195">
        <v>0</v>
      </c>
      <c r="AH28" s="182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</row>
    <row r="29" spans="1:48" s="102" customFormat="1" ht="15.75" customHeight="1" hidden="1">
      <c r="A29" s="232" t="s">
        <v>192</v>
      </c>
      <c r="B29" s="303">
        <f aca="true" t="shared" si="17" ref="B29:C38">D29+V29+AB29</f>
        <v>45433</v>
      </c>
      <c r="C29" s="303">
        <f t="shared" si="17"/>
        <v>468</v>
      </c>
      <c r="D29" s="303">
        <f aca="true" t="shared" si="18" ref="D29:D38">F29+H29+J29+N29+P29+L29+R29+T29</f>
        <v>44456</v>
      </c>
      <c r="E29" s="303">
        <f t="shared" si="15"/>
        <v>462</v>
      </c>
      <c r="F29" s="303">
        <v>235</v>
      </c>
      <c r="G29" s="303">
        <v>1</v>
      </c>
      <c r="H29" s="303">
        <v>37272</v>
      </c>
      <c r="I29" s="303">
        <v>347</v>
      </c>
      <c r="J29" s="195">
        <v>0</v>
      </c>
      <c r="K29" s="195">
        <v>0</v>
      </c>
      <c r="L29" s="196">
        <v>0</v>
      </c>
      <c r="M29" s="196">
        <v>0</v>
      </c>
      <c r="N29" s="307">
        <f>6114+1</f>
        <v>6115</v>
      </c>
      <c r="O29" s="303">
        <v>96</v>
      </c>
      <c r="P29" s="196">
        <v>0</v>
      </c>
      <c r="Q29" s="196">
        <v>0</v>
      </c>
      <c r="R29" s="295">
        <v>114</v>
      </c>
      <c r="S29" s="295">
        <v>1</v>
      </c>
      <c r="T29" s="295">
        <v>720</v>
      </c>
      <c r="U29" s="295">
        <v>17</v>
      </c>
      <c r="V29" s="303">
        <f t="shared" si="14"/>
        <v>838</v>
      </c>
      <c r="W29" s="303">
        <f t="shared" si="14"/>
        <v>4</v>
      </c>
      <c r="X29" s="196">
        <v>0</v>
      </c>
      <c r="Y29" s="196">
        <v>0</v>
      </c>
      <c r="Z29" s="295">
        <v>838</v>
      </c>
      <c r="AA29" s="295">
        <v>4</v>
      </c>
      <c r="AB29" s="303">
        <f t="shared" si="16"/>
        <v>139</v>
      </c>
      <c r="AC29" s="303">
        <f t="shared" si="16"/>
        <v>2</v>
      </c>
      <c r="AD29" s="295">
        <v>139</v>
      </c>
      <c r="AE29" s="295">
        <v>2</v>
      </c>
      <c r="AF29" s="195">
        <v>0</v>
      </c>
      <c r="AG29" s="195">
        <v>0</v>
      </c>
      <c r="AH29" s="182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3"/>
    </row>
    <row r="30" spans="1:48" s="102" customFormat="1" ht="15.75" customHeight="1" hidden="1">
      <c r="A30" s="232" t="s">
        <v>197</v>
      </c>
      <c r="B30" s="303">
        <f t="shared" si="17"/>
        <v>45433</v>
      </c>
      <c r="C30" s="303">
        <f t="shared" si="17"/>
        <v>468</v>
      </c>
      <c r="D30" s="303">
        <f t="shared" si="18"/>
        <v>44456</v>
      </c>
      <c r="E30" s="303">
        <f t="shared" si="15"/>
        <v>462</v>
      </c>
      <c r="F30" s="303">
        <v>235</v>
      </c>
      <c r="G30" s="303">
        <v>1</v>
      </c>
      <c r="H30" s="303">
        <v>37272</v>
      </c>
      <c r="I30" s="303">
        <v>347</v>
      </c>
      <c r="J30" s="195">
        <v>0</v>
      </c>
      <c r="K30" s="195">
        <v>0</v>
      </c>
      <c r="L30" s="196">
        <v>0</v>
      </c>
      <c r="M30" s="196">
        <v>0</v>
      </c>
      <c r="N30" s="307">
        <f>6114+1</f>
        <v>6115</v>
      </c>
      <c r="O30" s="303">
        <v>96</v>
      </c>
      <c r="P30" s="196">
        <v>0</v>
      </c>
      <c r="Q30" s="196">
        <v>0</v>
      </c>
      <c r="R30" s="295">
        <v>114</v>
      </c>
      <c r="S30" s="295">
        <v>1</v>
      </c>
      <c r="T30" s="295">
        <v>720</v>
      </c>
      <c r="U30" s="295">
        <v>17</v>
      </c>
      <c r="V30" s="303">
        <f aca="true" t="shared" si="19" ref="V30:W38">+X30+Z30</f>
        <v>838</v>
      </c>
      <c r="W30" s="303">
        <f t="shared" si="19"/>
        <v>4</v>
      </c>
      <c r="X30" s="196">
        <v>0</v>
      </c>
      <c r="Y30" s="196">
        <v>0</v>
      </c>
      <c r="Z30" s="295">
        <v>838</v>
      </c>
      <c r="AA30" s="295">
        <v>4</v>
      </c>
      <c r="AB30" s="303">
        <f t="shared" si="16"/>
        <v>139</v>
      </c>
      <c r="AC30" s="303">
        <f t="shared" si="16"/>
        <v>2</v>
      </c>
      <c r="AD30" s="295">
        <v>139</v>
      </c>
      <c r="AE30" s="295">
        <v>2</v>
      </c>
      <c r="AF30" s="195">
        <v>0</v>
      </c>
      <c r="AG30" s="195">
        <v>0</v>
      </c>
      <c r="AH30" s="182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83"/>
      <c r="AT30" s="183"/>
      <c r="AU30" s="183"/>
      <c r="AV30" s="183"/>
    </row>
    <row r="31" spans="1:48" s="102" customFormat="1" ht="15.75" customHeight="1" hidden="1">
      <c r="A31" s="232" t="s">
        <v>198</v>
      </c>
      <c r="B31" s="307">
        <f>D31+V31+AB31+1</f>
        <v>45439</v>
      </c>
      <c r="C31" s="303">
        <f t="shared" si="17"/>
        <v>471</v>
      </c>
      <c r="D31" s="303">
        <f t="shared" si="18"/>
        <v>44461</v>
      </c>
      <c r="E31" s="303">
        <f t="shared" si="15"/>
        <v>465</v>
      </c>
      <c r="F31" s="303">
        <v>235</v>
      </c>
      <c r="G31" s="303">
        <v>1</v>
      </c>
      <c r="H31" s="303">
        <v>37272</v>
      </c>
      <c r="I31" s="303">
        <v>347</v>
      </c>
      <c r="J31" s="195">
        <v>0</v>
      </c>
      <c r="K31" s="195">
        <v>0</v>
      </c>
      <c r="L31" s="196">
        <v>0</v>
      </c>
      <c r="M31" s="196">
        <v>0</v>
      </c>
      <c r="N31" s="303">
        <v>6114</v>
      </c>
      <c r="O31" s="303">
        <v>98</v>
      </c>
      <c r="P31" s="196">
        <v>0</v>
      </c>
      <c r="Q31" s="196">
        <v>0</v>
      </c>
      <c r="R31" s="295">
        <v>114</v>
      </c>
      <c r="S31" s="295">
        <v>1</v>
      </c>
      <c r="T31" s="295">
        <v>726</v>
      </c>
      <c r="U31" s="295">
        <v>18</v>
      </c>
      <c r="V31" s="303">
        <f t="shared" si="19"/>
        <v>838</v>
      </c>
      <c r="W31" s="303">
        <f t="shared" si="19"/>
        <v>4</v>
      </c>
      <c r="X31" s="196">
        <v>0</v>
      </c>
      <c r="Y31" s="196">
        <v>0</v>
      </c>
      <c r="Z31" s="295">
        <v>838</v>
      </c>
      <c r="AA31" s="295">
        <v>4</v>
      </c>
      <c r="AB31" s="303">
        <f t="shared" si="16"/>
        <v>139</v>
      </c>
      <c r="AC31" s="303">
        <f t="shared" si="16"/>
        <v>2</v>
      </c>
      <c r="AD31" s="295">
        <v>139</v>
      </c>
      <c r="AE31" s="295">
        <v>2</v>
      </c>
      <c r="AF31" s="195">
        <v>0</v>
      </c>
      <c r="AG31" s="195">
        <v>0</v>
      </c>
      <c r="AH31" s="182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</row>
    <row r="32" spans="1:48" s="102" customFormat="1" ht="15.75" customHeight="1" hidden="1">
      <c r="A32" s="232" t="s">
        <v>201</v>
      </c>
      <c r="B32" s="307">
        <f>D32+V32+AB32</f>
        <v>45467</v>
      </c>
      <c r="C32" s="303">
        <f t="shared" si="17"/>
        <v>473</v>
      </c>
      <c r="D32" s="303">
        <f t="shared" si="18"/>
        <v>44490</v>
      </c>
      <c r="E32" s="303">
        <f t="shared" si="15"/>
        <v>467</v>
      </c>
      <c r="F32" s="303">
        <v>235</v>
      </c>
      <c r="G32" s="303">
        <v>1</v>
      </c>
      <c r="H32" s="303">
        <v>37367</v>
      </c>
      <c r="I32" s="303">
        <v>348</v>
      </c>
      <c r="J32" s="195">
        <v>0</v>
      </c>
      <c r="K32" s="195">
        <v>0</v>
      </c>
      <c r="L32" s="196">
        <v>0</v>
      </c>
      <c r="M32" s="196">
        <v>0</v>
      </c>
      <c r="N32" s="303">
        <v>6048</v>
      </c>
      <c r="O32" s="303">
        <v>99</v>
      </c>
      <c r="P32" s="196">
        <v>0</v>
      </c>
      <c r="Q32" s="196">
        <v>0</v>
      </c>
      <c r="R32" s="295">
        <v>114</v>
      </c>
      <c r="S32" s="295">
        <v>1</v>
      </c>
      <c r="T32" s="295">
        <v>726</v>
      </c>
      <c r="U32" s="295">
        <v>18</v>
      </c>
      <c r="V32" s="303">
        <f t="shared" si="19"/>
        <v>838</v>
      </c>
      <c r="W32" s="303">
        <f t="shared" si="19"/>
        <v>4</v>
      </c>
      <c r="X32" s="196">
        <v>0</v>
      </c>
      <c r="Y32" s="196">
        <v>0</v>
      </c>
      <c r="Z32" s="295">
        <v>838</v>
      </c>
      <c r="AA32" s="295">
        <v>4</v>
      </c>
      <c r="AB32" s="303">
        <f t="shared" si="16"/>
        <v>139</v>
      </c>
      <c r="AC32" s="303">
        <f t="shared" si="16"/>
        <v>2</v>
      </c>
      <c r="AD32" s="295">
        <v>139</v>
      </c>
      <c r="AE32" s="295">
        <v>2</v>
      </c>
      <c r="AF32" s="195">
        <v>0</v>
      </c>
      <c r="AG32" s="195">
        <v>0</v>
      </c>
      <c r="AH32" s="182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</row>
    <row r="33" spans="1:48" s="102" customFormat="1" ht="15.75" customHeight="1" hidden="1">
      <c r="A33" s="232" t="s">
        <v>203</v>
      </c>
      <c r="B33" s="307">
        <f>D33+V33+AB33</f>
        <v>45467.051</v>
      </c>
      <c r="C33" s="303">
        <f t="shared" si="17"/>
        <v>473</v>
      </c>
      <c r="D33" s="303">
        <f t="shared" si="18"/>
        <v>44490.051</v>
      </c>
      <c r="E33" s="303">
        <f t="shared" si="15"/>
        <v>467</v>
      </c>
      <c r="F33" s="303">
        <v>235</v>
      </c>
      <c r="G33" s="303">
        <v>1</v>
      </c>
      <c r="H33" s="303">
        <v>37367</v>
      </c>
      <c r="I33" s="303">
        <v>348</v>
      </c>
      <c r="J33" s="195">
        <v>0</v>
      </c>
      <c r="K33" s="195">
        <v>0</v>
      </c>
      <c r="L33" s="196">
        <v>0</v>
      </c>
      <c r="M33" s="196">
        <v>0</v>
      </c>
      <c r="N33" s="303">
        <f>(1285875+4762176)/1000</f>
        <v>6048.051</v>
      </c>
      <c r="O33" s="303">
        <v>99</v>
      </c>
      <c r="P33" s="196">
        <v>0</v>
      </c>
      <c r="Q33" s="196">
        <v>0</v>
      </c>
      <c r="R33" s="295">
        <v>114</v>
      </c>
      <c r="S33" s="295">
        <v>1</v>
      </c>
      <c r="T33" s="295">
        <v>726</v>
      </c>
      <c r="U33" s="295">
        <v>18</v>
      </c>
      <c r="V33" s="303">
        <f t="shared" si="19"/>
        <v>838</v>
      </c>
      <c r="W33" s="303">
        <f t="shared" si="19"/>
        <v>4</v>
      </c>
      <c r="X33" s="196">
        <v>0</v>
      </c>
      <c r="Y33" s="196">
        <v>0</v>
      </c>
      <c r="Z33" s="295">
        <v>838</v>
      </c>
      <c r="AA33" s="295">
        <v>4</v>
      </c>
      <c r="AB33" s="303">
        <f t="shared" si="16"/>
        <v>139</v>
      </c>
      <c r="AC33" s="303">
        <f t="shared" si="16"/>
        <v>2</v>
      </c>
      <c r="AD33" s="295">
        <v>139</v>
      </c>
      <c r="AE33" s="295">
        <v>2</v>
      </c>
      <c r="AF33" s="195">
        <v>0</v>
      </c>
      <c r="AG33" s="195">
        <v>0</v>
      </c>
      <c r="AH33" s="182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</row>
    <row r="34" spans="1:48" s="102" customFormat="1" ht="15.75" customHeight="1" hidden="1">
      <c r="A34" s="232" t="s">
        <v>204</v>
      </c>
      <c r="B34" s="307">
        <f>D34+V34+AB34+1</f>
        <v>45484.051</v>
      </c>
      <c r="C34" s="303">
        <f t="shared" si="17"/>
        <v>474</v>
      </c>
      <c r="D34" s="303">
        <f t="shared" si="18"/>
        <v>44506.051</v>
      </c>
      <c r="E34" s="303">
        <f t="shared" si="15"/>
        <v>468</v>
      </c>
      <c r="F34" s="303">
        <v>235</v>
      </c>
      <c r="G34" s="303">
        <v>1</v>
      </c>
      <c r="H34" s="303">
        <v>37383</v>
      </c>
      <c r="I34" s="303">
        <v>349</v>
      </c>
      <c r="J34" s="195">
        <v>0</v>
      </c>
      <c r="K34" s="195">
        <v>0</v>
      </c>
      <c r="L34" s="196">
        <v>0</v>
      </c>
      <c r="M34" s="196">
        <v>0</v>
      </c>
      <c r="N34" s="303">
        <f>(1285875+4762176)/1000</f>
        <v>6048.051</v>
      </c>
      <c r="O34" s="303">
        <v>99</v>
      </c>
      <c r="P34" s="196">
        <v>0</v>
      </c>
      <c r="Q34" s="196">
        <v>0</v>
      </c>
      <c r="R34" s="295">
        <v>114</v>
      </c>
      <c r="S34" s="295">
        <v>1</v>
      </c>
      <c r="T34" s="295">
        <v>726</v>
      </c>
      <c r="U34" s="295">
        <v>18</v>
      </c>
      <c r="V34" s="303">
        <f t="shared" si="19"/>
        <v>838</v>
      </c>
      <c r="W34" s="303">
        <f t="shared" si="19"/>
        <v>4</v>
      </c>
      <c r="X34" s="196">
        <v>0</v>
      </c>
      <c r="Y34" s="196">
        <v>0</v>
      </c>
      <c r="Z34" s="295">
        <v>838</v>
      </c>
      <c r="AA34" s="295">
        <v>4</v>
      </c>
      <c r="AB34" s="303">
        <f t="shared" si="16"/>
        <v>139</v>
      </c>
      <c r="AC34" s="303">
        <f t="shared" si="16"/>
        <v>2</v>
      </c>
      <c r="AD34" s="295">
        <v>139</v>
      </c>
      <c r="AE34" s="295">
        <v>2</v>
      </c>
      <c r="AF34" s="195">
        <v>0</v>
      </c>
      <c r="AG34" s="195">
        <v>0</v>
      </c>
      <c r="AH34" s="182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</row>
    <row r="35" spans="1:48" s="102" customFormat="1" ht="15.75" customHeight="1">
      <c r="A35" s="272" t="s">
        <v>206</v>
      </c>
      <c r="B35" s="302">
        <f>B47</f>
        <v>46303</v>
      </c>
      <c r="C35" s="302">
        <f aca="true" t="shared" si="20" ref="C35:AG35">C47</f>
        <v>463</v>
      </c>
      <c r="D35" s="302">
        <f t="shared" si="20"/>
        <v>45581</v>
      </c>
      <c r="E35" s="302">
        <f t="shared" si="20"/>
        <v>460</v>
      </c>
      <c r="F35" s="302">
        <f t="shared" si="20"/>
        <v>1338</v>
      </c>
      <c r="G35" s="302">
        <f t="shared" si="20"/>
        <v>1</v>
      </c>
      <c r="H35" s="302">
        <f t="shared" si="20"/>
        <v>38611</v>
      </c>
      <c r="I35" s="302">
        <f t="shared" si="20"/>
        <v>346</v>
      </c>
      <c r="J35" s="195">
        <v>0</v>
      </c>
      <c r="K35" s="195">
        <v>0</v>
      </c>
      <c r="L35" s="196">
        <v>0</v>
      </c>
      <c r="M35" s="196">
        <v>0</v>
      </c>
      <c r="N35" s="302">
        <f t="shared" si="20"/>
        <v>4826</v>
      </c>
      <c r="O35" s="302">
        <f t="shared" si="20"/>
        <v>91</v>
      </c>
      <c r="P35" s="196">
        <v>0</v>
      </c>
      <c r="Q35" s="196">
        <v>0</v>
      </c>
      <c r="R35" s="196">
        <v>0</v>
      </c>
      <c r="S35" s="196">
        <v>0</v>
      </c>
      <c r="T35" s="302">
        <f t="shared" si="20"/>
        <v>806</v>
      </c>
      <c r="U35" s="302">
        <f t="shared" si="20"/>
        <v>22</v>
      </c>
      <c r="V35" s="302">
        <f t="shared" si="20"/>
        <v>722</v>
      </c>
      <c r="W35" s="302">
        <f t="shared" si="20"/>
        <v>3</v>
      </c>
      <c r="X35" s="195">
        <f t="shared" si="20"/>
        <v>0</v>
      </c>
      <c r="Y35" s="195">
        <f t="shared" si="20"/>
        <v>0</v>
      </c>
      <c r="Z35" s="302">
        <f t="shared" si="20"/>
        <v>722</v>
      </c>
      <c r="AA35" s="302">
        <f t="shared" si="20"/>
        <v>3</v>
      </c>
      <c r="AB35" s="195">
        <f t="shared" si="20"/>
        <v>0</v>
      </c>
      <c r="AC35" s="195">
        <f t="shared" si="20"/>
        <v>0</v>
      </c>
      <c r="AD35" s="195">
        <f t="shared" si="20"/>
        <v>0</v>
      </c>
      <c r="AE35" s="195">
        <f t="shared" si="20"/>
        <v>0</v>
      </c>
      <c r="AF35" s="195">
        <f t="shared" si="20"/>
        <v>0</v>
      </c>
      <c r="AG35" s="195">
        <f t="shared" si="20"/>
        <v>0</v>
      </c>
      <c r="AH35" s="182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</row>
    <row r="36" spans="1:48" s="102" customFormat="1" ht="15.75" customHeight="1" hidden="1">
      <c r="A36" s="232" t="s">
        <v>205</v>
      </c>
      <c r="B36" s="307">
        <f aca="true" t="shared" si="21" ref="B36:B41">D36+V36+AB36</f>
        <v>22293</v>
      </c>
      <c r="C36" s="303">
        <f t="shared" si="17"/>
        <v>226</v>
      </c>
      <c r="D36" s="303">
        <f t="shared" si="18"/>
        <v>22293</v>
      </c>
      <c r="E36" s="303">
        <f t="shared" si="15"/>
        <v>226</v>
      </c>
      <c r="F36" s="195">
        <v>0</v>
      </c>
      <c r="G36" s="195">
        <v>0</v>
      </c>
      <c r="H36" s="303">
        <v>19475</v>
      </c>
      <c r="I36" s="303">
        <v>169</v>
      </c>
      <c r="J36" s="195">
        <v>0</v>
      </c>
      <c r="K36" s="195">
        <v>0</v>
      </c>
      <c r="L36" s="195">
        <v>0</v>
      </c>
      <c r="M36" s="195">
        <v>0</v>
      </c>
      <c r="N36" s="303">
        <v>2415</v>
      </c>
      <c r="O36" s="303">
        <v>46</v>
      </c>
      <c r="P36" s="196">
        <v>0</v>
      </c>
      <c r="Q36" s="196">
        <v>0</v>
      </c>
      <c r="R36" s="196">
        <v>0</v>
      </c>
      <c r="S36" s="196">
        <v>0</v>
      </c>
      <c r="T36" s="295">
        <v>403</v>
      </c>
      <c r="U36" s="295">
        <v>11</v>
      </c>
      <c r="V36" s="196">
        <f t="shared" si="19"/>
        <v>0</v>
      </c>
      <c r="W36" s="196">
        <f t="shared" si="19"/>
        <v>0</v>
      </c>
      <c r="X36" s="196">
        <v>0</v>
      </c>
      <c r="Y36" s="196">
        <v>0</v>
      </c>
      <c r="Z36" s="196">
        <v>0</v>
      </c>
      <c r="AA36" s="196">
        <v>0</v>
      </c>
      <c r="AB36" s="195">
        <f t="shared" si="16"/>
        <v>0</v>
      </c>
      <c r="AC36" s="195">
        <f t="shared" si="16"/>
        <v>0</v>
      </c>
      <c r="AD36" s="195">
        <v>0</v>
      </c>
      <c r="AE36" s="195">
        <v>0</v>
      </c>
      <c r="AF36" s="195">
        <v>0</v>
      </c>
      <c r="AG36" s="195">
        <v>0</v>
      </c>
      <c r="AH36" s="182"/>
      <c r="AI36" s="183"/>
      <c r="AJ36" s="183"/>
      <c r="AK36" s="183"/>
      <c r="AL36" s="183"/>
      <c r="AM36" s="183"/>
      <c r="AN36" s="183"/>
      <c r="AO36" s="183"/>
      <c r="AP36" s="183"/>
      <c r="AQ36" s="183"/>
      <c r="AR36" s="183"/>
      <c r="AS36" s="183"/>
      <c r="AT36" s="183"/>
      <c r="AU36" s="183"/>
      <c r="AV36" s="183"/>
    </row>
    <row r="37" spans="1:48" s="102" customFormat="1" ht="15.75" customHeight="1" hidden="1">
      <c r="A37" s="232" t="s">
        <v>208</v>
      </c>
      <c r="B37" s="307">
        <f t="shared" si="21"/>
        <v>22293</v>
      </c>
      <c r="C37" s="303">
        <f t="shared" si="17"/>
        <v>226</v>
      </c>
      <c r="D37" s="303">
        <f t="shared" si="18"/>
        <v>22293</v>
      </c>
      <c r="E37" s="303">
        <f t="shared" si="15"/>
        <v>226</v>
      </c>
      <c r="F37" s="195">
        <v>0</v>
      </c>
      <c r="G37" s="195">
        <v>0</v>
      </c>
      <c r="H37" s="303">
        <v>19475</v>
      </c>
      <c r="I37" s="303">
        <v>169</v>
      </c>
      <c r="J37" s="195">
        <v>0</v>
      </c>
      <c r="K37" s="195">
        <v>0</v>
      </c>
      <c r="L37" s="195">
        <v>0</v>
      </c>
      <c r="M37" s="195">
        <v>0</v>
      </c>
      <c r="N37" s="303">
        <f>2416-1</f>
        <v>2415</v>
      </c>
      <c r="O37" s="303">
        <v>46</v>
      </c>
      <c r="P37" s="196">
        <v>0</v>
      </c>
      <c r="Q37" s="196">
        <v>0</v>
      </c>
      <c r="R37" s="196">
        <v>0</v>
      </c>
      <c r="S37" s="196">
        <v>0</v>
      </c>
      <c r="T37" s="295">
        <v>403</v>
      </c>
      <c r="U37" s="295">
        <v>11</v>
      </c>
      <c r="V37" s="196">
        <f t="shared" si="19"/>
        <v>0</v>
      </c>
      <c r="W37" s="196">
        <f t="shared" si="19"/>
        <v>0</v>
      </c>
      <c r="X37" s="196">
        <v>0</v>
      </c>
      <c r="Y37" s="196">
        <v>0</v>
      </c>
      <c r="Z37" s="196">
        <v>0</v>
      </c>
      <c r="AA37" s="196">
        <v>0</v>
      </c>
      <c r="AB37" s="195">
        <f t="shared" si="16"/>
        <v>0</v>
      </c>
      <c r="AC37" s="195">
        <f t="shared" si="16"/>
        <v>0</v>
      </c>
      <c r="AD37" s="195">
        <v>0</v>
      </c>
      <c r="AE37" s="195">
        <v>0</v>
      </c>
      <c r="AF37" s="195">
        <v>0</v>
      </c>
      <c r="AG37" s="195">
        <v>0</v>
      </c>
      <c r="AH37" s="182"/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83"/>
      <c r="AT37" s="183"/>
      <c r="AU37" s="183"/>
      <c r="AV37" s="183"/>
    </row>
    <row r="38" spans="1:48" s="102" customFormat="1" ht="15.75" customHeight="1" hidden="1">
      <c r="A38" s="232" t="s">
        <v>209</v>
      </c>
      <c r="B38" s="307">
        <f t="shared" si="21"/>
        <v>22150</v>
      </c>
      <c r="C38" s="303">
        <f t="shared" si="17"/>
        <v>231</v>
      </c>
      <c r="D38" s="303">
        <f t="shared" si="18"/>
        <v>22150</v>
      </c>
      <c r="E38" s="303">
        <f t="shared" si="15"/>
        <v>231</v>
      </c>
      <c r="F38" s="195">
        <v>0</v>
      </c>
      <c r="G38" s="195">
        <v>0</v>
      </c>
      <c r="H38" s="303">
        <v>19332</v>
      </c>
      <c r="I38" s="303">
        <v>174</v>
      </c>
      <c r="J38" s="195">
        <v>0</v>
      </c>
      <c r="K38" s="195">
        <v>0</v>
      </c>
      <c r="L38" s="195">
        <v>0</v>
      </c>
      <c r="M38" s="195">
        <v>0</v>
      </c>
      <c r="N38" s="303">
        <f>2416-1</f>
        <v>2415</v>
      </c>
      <c r="O38" s="303">
        <v>46</v>
      </c>
      <c r="P38" s="196">
        <v>0</v>
      </c>
      <c r="Q38" s="196">
        <v>0</v>
      </c>
      <c r="R38" s="196">
        <v>0</v>
      </c>
      <c r="S38" s="196">
        <v>0</v>
      </c>
      <c r="T38" s="295">
        <v>403</v>
      </c>
      <c r="U38" s="295">
        <v>11</v>
      </c>
      <c r="V38" s="196">
        <f t="shared" si="19"/>
        <v>0</v>
      </c>
      <c r="W38" s="196">
        <f t="shared" si="19"/>
        <v>0</v>
      </c>
      <c r="X38" s="196">
        <v>0</v>
      </c>
      <c r="Y38" s="196">
        <v>0</v>
      </c>
      <c r="Z38" s="196">
        <v>0</v>
      </c>
      <c r="AA38" s="196">
        <v>0</v>
      </c>
      <c r="AB38" s="195">
        <f t="shared" si="16"/>
        <v>0</v>
      </c>
      <c r="AC38" s="195">
        <f t="shared" si="16"/>
        <v>0</v>
      </c>
      <c r="AD38" s="195">
        <v>0</v>
      </c>
      <c r="AE38" s="195">
        <v>0</v>
      </c>
      <c r="AF38" s="195">
        <v>0</v>
      </c>
      <c r="AG38" s="195">
        <v>0</v>
      </c>
      <c r="AH38" s="182"/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83"/>
      <c r="AV38" s="183"/>
    </row>
    <row r="39" spans="1:48" s="102" customFormat="1" ht="15.75" customHeight="1" hidden="1">
      <c r="A39" s="232" t="s">
        <v>212</v>
      </c>
      <c r="B39" s="307">
        <f t="shared" si="21"/>
        <v>22150</v>
      </c>
      <c r="C39" s="303">
        <f aca="true" t="shared" si="22" ref="C39:C44">E39+W39+AC39</f>
        <v>233</v>
      </c>
      <c r="D39" s="303">
        <f aca="true" t="shared" si="23" ref="D39:E41">F39+H39+J39+N39+P39+L39+R39+T39</f>
        <v>22150</v>
      </c>
      <c r="E39" s="303">
        <f t="shared" si="23"/>
        <v>233</v>
      </c>
      <c r="F39" s="195">
        <v>0</v>
      </c>
      <c r="G39" s="195">
        <v>0</v>
      </c>
      <c r="H39" s="303">
        <v>19332</v>
      </c>
      <c r="I39" s="303">
        <v>176</v>
      </c>
      <c r="J39" s="195">
        <v>0</v>
      </c>
      <c r="K39" s="195">
        <v>0</v>
      </c>
      <c r="L39" s="195">
        <v>0</v>
      </c>
      <c r="M39" s="195">
        <v>0</v>
      </c>
      <c r="N39" s="303">
        <f>2416-1</f>
        <v>2415</v>
      </c>
      <c r="O39" s="303">
        <v>46</v>
      </c>
      <c r="P39" s="196">
        <v>0</v>
      </c>
      <c r="Q39" s="196">
        <v>0</v>
      </c>
      <c r="R39" s="196">
        <v>0</v>
      </c>
      <c r="S39" s="196">
        <v>0</v>
      </c>
      <c r="T39" s="295">
        <v>403</v>
      </c>
      <c r="U39" s="295">
        <v>11</v>
      </c>
      <c r="V39" s="196">
        <f aca="true" t="shared" si="24" ref="V39:W41">+X39+Z39</f>
        <v>0</v>
      </c>
      <c r="W39" s="196">
        <f t="shared" si="24"/>
        <v>0</v>
      </c>
      <c r="X39" s="196">
        <v>0</v>
      </c>
      <c r="Y39" s="196">
        <v>0</v>
      </c>
      <c r="Z39" s="196">
        <v>0</v>
      </c>
      <c r="AA39" s="196">
        <v>0</v>
      </c>
      <c r="AB39" s="195">
        <f>AD39+AF39</f>
        <v>0</v>
      </c>
      <c r="AC39" s="195">
        <f>AE39+AG39</f>
        <v>0</v>
      </c>
      <c r="AD39" s="195">
        <v>0</v>
      </c>
      <c r="AE39" s="195">
        <v>0</v>
      </c>
      <c r="AF39" s="195">
        <v>0</v>
      </c>
      <c r="AG39" s="195">
        <v>0</v>
      </c>
      <c r="AH39" s="182"/>
      <c r="AI39" s="183"/>
      <c r="AJ39" s="183"/>
      <c r="AK39" s="183"/>
      <c r="AL39" s="183"/>
      <c r="AM39" s="183"/>
      <c r="AN39" s="183"/>
      <c r="AO39" s="183"/>
      <c r="AP39" s="183"/>
      <c r="AQ39" s="183"/>
      <c r="AR39" s="183"/>
      <c r="AS39" s="183"/>
      <c r="AT39" s="183"/>
      <c r="AU39" s="183"/>
      <c r="AV39" s="183"/>
    </row>
    <row r="40" spans="1:48" s="102" customFormat="1" ht="15.75" customHeight="1" hidden="1">
      <c r="A40" s="232" t="s">
        <v>213</v>
      </c>
      <c r="B40" s="307">
        <f t="shared" si="21"/>
        <v>22150</v>
      </c>
      <c r="C40" s="303">
        <f t="shared" si="22"/>
        <v>233</v>
      </c>
      <c r="D40" s="303">
        <f t="shared" si="23"/>
        <v>22150</v>
      </c>
      <c r="E40" s="303">
        <f t="shared" si="23"/>
        <v>233</v>
      </c>
      <c r="F40" s="195">
        <v>0</v>
      </c>
      <c r="G40" s="195">
        <v>0</v>
      </c>
      <c r="H40" s="303">
        <v>19332</v>
      </c>
      <c r="I40" s="102">
        <v>176</v>
      </c>
      <c r="J40" s="195">
        <v>0</v>
      </c>
      <c r="K40" s="195">
        <v>0</v>
      </c>
      <c r="L40" s="195">
        <v>0</v>
      </c>
      <c r="M40" s="195">
        <v>0</v>
      </c>
      <c r="N40" s="303">
        <v>2415</v>
      </c>
      <c r="O40" s="303">
        <v>46</v>
      </c>
      <c r="P40" s="196">
        <v>0</v>
      </c>
      <c r="Q40" s="196">
        <v>0</v>
      </c>
      <c r="R40" s="196">
        <v>0</v>
      </c>
      <c r="S40" s="196">
        <v>0</v>
      </c>
      <c r="T40" s="303">
        <v>403</v>
      </c>
      <c r="U40" s="303">
        <v>11</v>
      </c>
      <c r="V40" s="196">
        <f t="shared" si="24"/>
        <v>0</v>
      </c>
      <c r="W40" s="196">
        <f t="shared" si="24"/>
        <v>0</v>
      </c>
      <c r="X40" s="196">
        <v>0</v>
      </c>
      <c r="Y40" s="196">
        <v>0</v>
      </c>
      <c r="Z40" s="196">
        <v>0</v>
      </c>
      <c r="AA40" s="196">
        <v>0</v>
      </c>
      <c r="AB40" s="195">
        <f>AD40+AF40</f>
        <v>0</v>
      </c>
      <c r="AC40" s="195">
        <f>AE40+AG40</f>
        <v>0</v>
      </c>
      <c r="AD40" s="195">
        <v>0</v>
      </c>
      <c r="AE40" s="195">
        <v>0</v>
      </c>
      <c r="AF40" s="195">
        <v>0</v>
      </c>
      <c r="AG40" s="195">
        <v>0</v>
      </c>
      <c r="AH40" s="182"/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183"/>
      <c r="AU40" s="183"/>
      <c r="AV40" s="183"/>
    </row>
    <row r="41" spans="1:48" s="102" customFormat="1" ht="15.75" customHeight="1" hidden="1">
      <c r="A41" s="232" t="s">
        <v>214</v>
      </c>
      <c r="B41" s="307">
        <f t="shared" si="21"/>
        <v>22175</v>
      </c>
      <c r="C41" s="303">
        <f t="shared" si="22"/>
        <v>234</v>
      </c>
      <c r="D41" s="303">
        <f t="shared" si="23"/>
        <v>22175</v>
      </c>
      <c r="E41" s="303">
        <f t="shared" si="23"/>
        <v>234</v>
      </c>
      <c r="F41" s="195">
        <v>0</v>
      </c>
      <c r="G41" s="195">
        <v>0</v>
      </c>
      <c r="H41" s="303">
        <v>19357</v>
      </c>
      <c r="I41" s="102">
        <v>177</v>
      </c>
      <c r="J41" s="195">
        <v>0</v>
      </c>
      <c r="K41" s="195">
        <v>0</v>
      </c>
      <c r="L41" s="195">
        <v>0</v>
      </c>
      <c r="M41" s="195">
        <v>0</v>
      </c>
      <c r="N41" s="303">
        <v>2415</v>
      </c>
      <c r="O41" s="303">
        <v>46</v>
      </c>
      <c r="P41" s="196">
        <v>0</v>
      </c>
      <c r="Q41" s="196">
        <v>0</v>
      </c>
      <c r="R41" s="196">
        <v>0</v>
      </c>
      <c r="S41" s="196">
        <v>0</v>
      </c>
      <c r="T41" s="303">
        <v>403</v>
      </c>
      <c r="U41" s="303">
        <v>11</v>
      </c>
      <c r="V41" s="196">
        <f t="shared" si="24"/>
        <v>0</v>
      </c>
      <c r="W41" s="196">
        <f t="shared" si="24"/>
        <v>0</v>
      </c>
      <c r="X41" s="196">
        <v>0</v>
      </c>
      <c r="Y41" s="196">
        <v>0</v>
      </c>
      <c r="Z41" s="196">
        <v>0</v>
      </c>
      <c r="AA41" s="196">
        <v>0</v>
      </c>
      <c r="AB41" s="195">
        <f aca="true" t="shared" si="25" ref="AB41:AC43">AD41+AF41</f>
        <v>0</v>
      </c>
      <c r="AC41" s="195">
        <f t="shared" si="25"/>
        <v>0</v>
      </c>
      <c r="AD41" s="195">
        <v>0</v>
      </c>
      <c r="AE41" s="195">
        <v>0</v>
      </c>
      <c r="AF41" s="195">
        <v>0</v>
      </c>
      <c r="AG41" s="195">
        <v>0</v>
      </c>
      <c r="AH41" s="182"/>
      <c r="AI41" s="183"/>
      <c r="AJ41" s="183"/>
      <c r="AK41" s="183"/>
      <c r="AL41" s="183"/>
      <c r="AM41" s="183"/>
      <c r="AN41" s="183"/>
      <c r="AO41" s="183"/>
      <c r="AP41" s="183"/>
      <c r="AQ41" s="183"/>
      <c r="AR41" s="183"/>
      <c r="AS41" s="183"/>
      <c r="AT41" s="183"/>
      <c r="AU41" s="183"/>
      <c r="AV41" s="183"/>
    </row>
    <row r="42" spans="1:48" s="102" customFormat="1" ht="15.75" customHeight="1" hidden="1">
      <c r="A42" s="232" t="s">
        <v>215</v>
      </c>
      <c r="B42" s="307">
        <f aca="true" t="shared" si="26" ref="B42:B47">D42+V42+AB42</f>
        <v>46368</v>
      </c>
      <c r="C42" s="303">
        <f t="shared" si="22"/>
        <v>462</v>
      </c>
      <c r="D42" s="303">
        <f aca="true" t="shared" si="27" ref="D42:E44">F42+H42+J42+N42+P42+L42+R42+T42</f>
        <v>45646</v>
      </c>
      <c r="E42" s="303">
        <f t="shared" si="27"/>
        <v>459</v>
      </c>
      <c r="F42" s="195">
        <v>1338</v>
      </c>
      <c r="G42" s="195">
        <v>1</v>
      </c>
      <c r="H42" s="303">
        <v>38676</v>
      </c>
      <c r="I42" s="102">
        <v>345</v>
      </c>
      <c r="J42" s="195">
        <v>0</v>
      </c>
      <c r="K42" s="195">
        <v>0</v>
      </c>
      <c r="L42" s="195">
        <v>0</v>
      </c>
      <c r="M42" s="195">
        <v>0</v>
      </c>
      <c r="N42" s="303">
        <v>4826</v>
      </c>
      <c r="O42" s="303">
        <v>91</v>
      </c>
      <c r="P42" s="196">
        <v>0</v>
      </c>
      <c r="Q42" s="196">
        <v>0</v>
      </c>
      <c r="R42" s="196">
        <v>0</v>
      </c>
      <c r="S42" s="196">
        <v>0</v>
      </c>
      <c r="T42" s="303">
        <v>806</v>
      </c>
      <c r="U42" s="303">
        <v>22</v>
      </c>
      <c r="V42" s="196">
        <f aca="true" t="shared" si="28" ref="V42:W45">+X42+Z42</f>
        <v>722</v>
      </c>
      <c r="W42" s="196">
        <f t="shared" si="28"/>
        <v>3</v>
      </c>
      <c r="X42" s="196">
        <v>0</v>
      </c>
      <c r="Y42" s="196">
        <v>0</v>
      </c>
      <c r="Z42" s="196">
        <v>722</v>
      </c>
      <c r="AA42" s="196">
        <v>3</v>
      </c>
      <c r="AB42" s="195">
        <f t="shared" si="25"/>
        <v>0</v>
      </c>
      <c r="AC42" s="195">
        <f t="shared" si="25"/>
        <v>0</v>
      </c>
      <c r="AD42" s="195">
        <v>0</v>
      </c>
      <c r="AE42" s="195">
        <v>0</v>
      </c>
      <c r="AF42" s="195">
        <v>0</v>
      </c>
      <c r="AG42" s="195">
        <v>0</v>
      </c>
      <c r="AH42" s="182"/>
      <c r="AI42" s="183"/>
      <c r="AJ42" s="183"/>
      <c r="AK42" s="183"/>
      <c r="AL42" s="183"/>
      <c r="AM42" s="183"/>
      <c r="AN42" s="183"/>
      <c r="AO42" s="183"/>
      <c r="AP42" s="183"/>
      <c r="AQ42" s="183"/>
      <c r="AR42" s="183"/>
      <c r="AS42" s="183"/>
      <c r="AT42" s="183"/>
      <c r="AU42" s="183"/>
      <c r="AV42" s="183"/>
    </row>
    <row r="43" spans="1:48" s="102" customFormat="1" ht="15.75" customHeight="1" hidden="1">
      <c r="A43" s="232" t="s">
        <v>216</v>
      </c>
      <c r="B43" s="307">
        <f t="shared" si="26"/>
        <v>46368</v>
      </c>
      <c r="C43" s="303">
        <f t="shared" si="22"/>
        <v>462</v>
      </c>
      <c r="D43" s="303">
        <f t="shared" si="27"/>
        <v>45646</v>
      </c>
      <c r="E43" s="303">
        <f t="shared" si="27"/>
        <v>459</v>
      </c>
      <c r="F43" s="195">
        <v>1338</v>
      </c>
      <c r="G43" s="195">
        <v>1</v>
      </c>
      <c r="H43" s="303">
        <v>38676</v>
      </c>
      <c r="I43" s="102">
        <v>345</v>
      </c>
      <c r="J43" s="195">
        <v>0</v>
      </c>
      <c r="K43" s="195">
        <v>0</v>
      </c>
      <c r="L43" s="195">
        <v>0</v>
      </c>
      <c r="M43" s="195">
        <v>0</v>
      </c>
      <c r="N43" s="303">
        <v>4826</v>
      </c>
      <c r="O43" s="303">
        <v>91</v>
      </c>
      <c r="P43" s="196">
        <v>0</v>
      </c>
      <c r="Q43" s="196">
        <v>0</v>
      </c>
      <c r="R43" s="196">
        <v>0</v>
      </c>
      <c r="S43" s="196">
        <v>0</v>
      </c>
      <c r="T43" s="303">
        <v>806</v>
      </c>
      <c r="U43" s="303">
        <v>22</v>
      </c>
      <c r="V43" s="196">
        <f t="shared" si="28"/>
        <v>722</v>
      </c>
      <c r="W43" s="196">
        <f t="shared" si="28"/>
        <v>3</v>
      </c>
      <c r="X43" s="196">
        <v>0</v>
      </c>
      <c r="Y43" s="196">
        <v>0</v>
      </c>
      <c r="Z43" s="196">
        <v>722</v>
      </c>
      <c r="AA43" s="196">
        <v>3</v>
      </c>
      <c r="AB43" s="195">
        <f t="shared" si="25"/>
        <v>0</v>
      </c>
      <c r="AC43" s="195">
        <f t="shared" si="25"/>
        <v>0</v>
      </c>
      <c r="AD43" s="195">
        <v>0</v>
      </c>
      <c r="AE43" s="195">
        <v>0</v>
      </c>
      <c r="AF43" s="195">
        <v>0</v>
      </c>
      <c r="AG43" s="195">
        <v>0</v>
      </c>
      <c r="AH43" s="182"/>
      <c r="AI43" s="183"/>
      <c r="AJ43" s="183"/>
      <c r="AK43" s="183"/>
      <c r="AL43" s="183"/>
      <c r="AM43" s="183"/>
      <c r="AN43" s="183"/>
      <c r="AO43" s="183"/>
      <c r="AP43" s="183"/>
      <c r="AQ43" s="183"/>
      <c r="AR43" s="183"/>
      <c r="AS43" s="183"/>
      <c r="AT43" s="183"/>
      <c r="AU43" s="183"/>
      <c r="AV43" s="183"/>
    </row>
    <row r="44" spans="1:48" s="102" customFormat="1" ht="15.75" customHeight="1" hidden="1">
      <c r="A44" s="232" t="s">
        <v>217</v>
      </c>
      <c r="B44" s="307">
        <f t="shared" si="26"/>
        <v>46368</v>
      </c>
      <c r="C44" s="303">
        <f t="shared" si="22"/>
        <v>462</v>
      </c>
      <c r="D44" s="303">
        <f t="shared" si="27"/>
        <v>45646</v>
      </c>
      <c r="E44" s="303">
        <f t="shared" si="27"/>
        <v>459</v>
      </c>
      <c r="F44" s="195">
        <v>1338</v>
      </c>
      <c r="G44" s="195">
        <v>1</v>
      </c>
      <c r="H44" s="303">
        <v>38676</v>
      </c>
      <c r="I44" s="102">
        <v>345</v>
      </c>
      <c r="J44" s="195">
        <v>0</v>
      </c>
      <c r="K44" s="195">
        <v>0</v>
      </c>
      <c r="L44" s="195">
        <v>0</v>
      </c>
      <c r="M44" s="195">
        <v>0</v>
      </c>
      <c r="N44" s="303">
        <v>4826</v>
      </c>
      <c r="O44" s="303">
        <v>91</v>
      </c>
      <c r="P44" s="196">
        <v>0</v>
      </c>
      <c r="Q44" s="196">
        <v>0</v>
      </c>
      <c r="R44" s="196">
        <v>0</v>
      </c>
      <c r="S44" s="196">
        <v>0</v>
      </c>
      <c r="T44" s="303">
        <v>806</v>
      </c>
      <c r="U44" s="303">
        <v>22</v>
      </c>
      <c r="V44" s="196">
        <f t="shared" si="28"/>
        <v>722</v>
      </c>
      <c r="W44" s="196">
        <f t="shared" si="28"/>
        <v>3</v>
      </c>
      <c r="X44" s="196">
        <v>0</v>
      </c>
      <c r="Y44" s="196">
        <v>0</v>
      </c>
      <c r="Z44" s="196">
        <v>722</v>
      </c>
      <c r="AA44" s="196">
        <v>3</v>
      </c>
      <c r="AB44" s="195">
        <f aca="true" t="shared" si="29" ref="AB44:AC47">AD44+AF44</f>
        <v>0</v>
      </c>
      <c r="AC44" s="195">
        <f t="shared" si="29"/>
        <v>0</v>
      </c>
      <c r="AD44" s="195">
        <v>0</v>
      </c>
      <c r="AE44" s="195">
        <v>0</v>
      </c>
      <c r="AF44" s="195">
        <v>0</v>
      </c>
      <c r="AG44" s="195">
        <v>0</v>
      </c>
      <c r="AH44" s="182"/>
      <c r="AI44" s="183"/>
      <c r="AJ44" s="183"/>
      <c r="AK44" s="183"/>
      <c r="AL44" s="183"/>
      <c r="AM44" s="183"/>
      <c r="AN44" s="183"/>
      <c r="AO44" s="183"/>
      <c r="AP44" s="183"/>
      <c r="AQ44" s="183"/>
      <c r="AR44" s="183"/>
      <c r="AS44" s="183"/>
      <c r="AT44" s="183"/>
      <c r="AU44" s="183"/>
      <c r="AV44" s="183"/>
    </row>
    <row r="45" spans="1:48" s="102" customFormat="1" ht="15.75" customHeight="1" hidden="1">
      <c r="A45" s="232" t="s">
        <v>218</v>
      </c>
      <c r="B45" s="307">
        <f t="shared" si="26"/>
        <v>46368</v>
      </c>
      <c r="C45" s="303">
        <f>E45+W45+AC45</f>
        <v>462</v>
      </c>
      <c r="D45" s="303">
        <f aca="true" t="shared" si="30" ref="D45:E47">F45+H45+J45+N45+P45+L45+R45+T45</f>
        <v>45646</v>
      </c>
      <c r="E45" s="303">
        <f t="shared" si="30"/>
        <v>459</v>
      </c>
      <c r="F45" s="195">
        <v>1338</v>
      </c>
      <c r="G45" s="195">
        <v>1</v>
      </c>
      <c r="H45" s="303">
        <v>38676</v>
      </c>
      <c r="I45" s="102">
        <v>345</v>
      </c>
      <c r="J45" s="195">
        <v>0</v>
      </c>
      <c r="K45" s="195">
        <v>0</v>
      </c>
      <c r="L45" s="195">
        <v>0</v>
      </c>
      <c r="M45" s="195">
        <v>0</v>
      </c>
      <c r="N45" s="303">
        <v>4826</v>
      </c>
      <c r="O45" s="303">
        <v>91</v>
      </c>
      <c r="P45" s="196">
        <v>0</v>
      </c>
      <c r="Q45" s="196">
        <v>0</v>
      </c>
      <c r="R45" s="196">
        <v>0</v>
      </c>
      <c r="S45" s="196">
        <v>0</v>
      </c>
      <c r="T45" s="303">
        <v>806</v>
      </c>
      <c r="U45" s="303">
        <v>22</v>
      </c>
      <c r="V45" s="196">
        <f t="shared" si="28"/>
        <v>722</v>
      </c>
      <c r="W45" s="196">
        <f t="shared" si="28"/>
        <v>3</v>
      </c>
      <c r="X45" s="196">
        <v>0</v>
      </c>
      <c r="Y45" s="196">
        <v>0</v>
      </c>
      <c r="Z45" s="196">
        <v>722</v>
      </c>
      <c r="AA45" s="196">
        <v>3</v>
      </c>
      <c r="AB45" s="195">
        <f t="shared" si="29"/>
        <v>0</v>
      </c>
      <c r="AC45" s="195">
        <f t="shared" si="29"/>
        <v>0</v>
      </c>
      <c r="AD45" s="195">
        <v>0</v>
      </c>
      <c r="AE45" s="195">
        <v>0</v>
      </c>
      <c r="AF45" s="195">
        <v>0</v>
      </c>
      <c r="AG45" s="195">
        <v>0</v>
      </c>
      <c r="AH45" s="182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</row>
    <row r="46" spans="1:48" s="102" customFormat="1" ht="15.75" customHeight="1" hidden="1">
      <c r="A46" s="232" t="s">
        <v>219</v>
      </c>
      <c r="B46" s="307">
        <f t="shared" si="26"/>
        <v>46368</v>
      </c>
      <c r="C46" s="303">
        <f>E46+W46+AC46</f>
        <v>462</v>
      </c>
      <c r="D46" s="303">
        <f t="shared" si="30"/>
        <v>45646</v>
      </c>
      <c r="E46" s="303">
        <f t="shared" si="30"/>
        <v>459</v>
      </c>
      <c r="F46" s="195">
        <v>1338</v>
      </c>
      <c r="G46" s="195">
        <v>1</v>
      </c>
      <c r="H46" s="303">
        <v>38676</v>
      </c>
      <c r="I46" s="102">
        <v>345</v>
      </c>
      <c r="J46" s="195">
        <v>0</v>
      </c>
      <c r="K46" s="195">
        <v>0</v>
      </c>
      <c r="L46" s="195">
        <v>0</v>
      </c>
      <c r="M46" s="195">
        <v>0</v>
      </c>
      <c r="N46" s="303">
        <v>4826</v>
      </c>
      <c r="O46" s="303">
        <v>91</v>
      </c>
      <c r="P46" s="196">
        <v>0</v>
      </c>
      <c r="Q46" s="196">
        <v>0</v>
      </c>
      <c r="R46" s="196">
        <v>0</v>
      </c>
      <c r="S46" s="196">
        <v>0</v>
      </c>
      <c r="T46" s="303">
        <v>806</v>
      </c>
      <c r="U46" s="303">
        <v>22</v>
      </c>
      <c r="V46" s="196">
        <f>+X46+Z46</f>
        <v>722</v>
      </c>
      <c r="W46" s="196">
        <f>+Y46+AA46</f>
        <v>3</v>
      </c>
      <c r="X46" s="196">
        <v>0</v>
      </c>
      <c r="Y46" s="196">
        <v>0</v>
      </c>
      <c r="Z46" s="196">
        <v>722</v>
      </c>
      <c r="AA46" s="196">
        <v>3</v>
      </c>
      <c r="AB46" s="195">
        <f t="shared" si="29"/>
        <v>0</v>
      </c>
      <c r="AC46" s="195">
        <f t="shared" si="29"/>
        <v>0</v>
      </c>
      <c r="AD46" s="195">
        <v>0</v>
      </c>
      <c r="AE46" s="195">
        <v>0</v>
      </c>
      <c r="AF46" s="195">
        <v>0</v>
      </c>
      <c r="AG46" s="195">
        <v>0</v>
      </c>
      <c r="AH46" s="182"/>
      <c r="AI46" s="183"/>
      <c r="AJ46" s="183"/>
      <c r="AK46" s="183"/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83"/>
    </row>
    <row r="47" spans="1:48" s="102" customFormat="1" ht="15.75" customHeight="1" hidden="1">
      <c r="A47" s="232" t="s">
        <v>220</v>
      </c>
      <c r="B47" s="307">
        <f t="shared" si="26"/>
        <v>46303</v>
      </c>
      <c r="C47" s="303">
        <f>E47+W47+AC47</f>
        <v>463</v>
      </c>
      <c r="D47" s="303">
        <f t="shared" si="30"/>
        <v>45581</v>
      </c>
      <c r="E47" s="303">
        <f t="shared" si="30"/>
        <v>460</v>
      </c>
      <c r="F47" s="195">
        <v>1338</v>
      </c>
      <c r="G47" s="195">
        <v>1</v>
      </c>
      <c r="H47" s="303">
        <v>38611</v>
      </c>
      <c r="I47" s="102">
        <v>346</v>
      </c>
      <c r="J47" s="195">
        <v>0</v>
      </c>
      <c r="K47" s="195">
        <v>0</v>
      </c>
      <c r="L47" s="195">
        <v>0</v>
      </c>
      <c r="M47" s="195">
        <v>0</v>
      </c>
      <c r="N47" s="303">
        <v>4826</v>
      </c>
      <c r="O47" s="303">
        <v>91</v>
      </c>
      <c r="P47" s="196">
        <v>0</v>
      </c>
      <c r="Q47" s="196">
        <v>0</v>
      </c>
      <c r="R47" s="196">
        <v>0</v>
      </c>
      <c r="S47" s="196">
        <v>0</v>
      </c>
      <c r="T47" s="303">
        <v>806</v>
      </c>
      <c r="U47" s="303">
        <v>22</v>
      </c>
      <c r="V47" s="196">
        <f>+X47+Z47</f>
        <v>722</v>
      </c>
      <c r="W47" s="196">
        <f>+Y47+AA47</f>
        <v>3</v>
      </c>
      <c r="X47" s="196">
        <v>0</v>
      </c>
      <c r="Y47" s="196">
        <v>0</v>
      </c>
      <c r="Z47" s="196">
        <v>722</v>
      </c>
      <c r="AA47" s="196">
        <v>3</v>
      </c>
      <c r="AB47" s="195">
        <f t="shared" si="29"/>
        <v>0</v>
      </c>
      <c r="AC47" s="195">
        <f t="shared" si="29"/>
        <v>0</v>
      </c>
      <c r="AD47" s="195">
        <v>0</v>
      </c>
      <c r="AE47" s="195">
        <v>0</v>
      </c>
      <c r="AF47" s="195">
        <v>0</v>
      </c>
      <c r="AG47" s="195">
        <v>0</v>
      </c>
      <c r="AH47" s="182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83"/>
    </row>
    <row r="48" spans="1:48" s="102" customFormat="1" ht="15.75" customHeight="1">
      <c r="A48" s="272" t="s">
        <v>221</v>
      </c>
      <c r="B48" s="302"/>
      <c r="C48" s="302"/>
      <c r="D48" s="302"/>
      <c r="E48" s="302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196"/>
      <c r="Q48" s="196"/>
      <c r="R48" s="196"/>
      <c r="S48" s="196"/>
      <c r="T48" s="302"/>
      <c r="U48" s="302"/>
      <c r="V48" s="196"/>
      <c r="W48" s="196"/>
      <c r="X48" s="196"/>
      <c r="Y48" s="196"/>
      <c r="Z48" s="302"/>
      <c r="AA48" s="302"/>
      <c r="AB48" s="195"/>
      <c r="AC48" s="195"/>
      <c r="AD48" s="195"/>
      <c r="AE48" s="195"/>
      <c r="AF48" s="195"/>
      <c r="AG48" s="195"/>
      <c r="AH48" s="182"/>
      <c r="AI48" s="183"/>
      <c r="AJ48" s="183"/>
      <c r="AK48" s="183"/>
      <c r="AL48" s="183"/>
      <c r="AM48" s="183"/>
      <c r="AN48" s="183"/>
      <c r="AO48" s="183"/>
      <c r="AP48" s="183"/>
      <c r="AQ48" s="183"/>
      <c r="AR48" s="183"/>
      <c r="AS48" s="183"/>
      <c r="AT48" s="183"/>
      <c r="AU48" s="183"/>
      <c r="AV48" s="183"/>
    </row>
    <row r="49" spans="1:34" s="183" customFormat="1" ht="15.75" customHeight="1">
      <c r="A49" s="353" t="s">
        <v>222</v>
      </c>
      <c r="B49" s="354">
        <f aca="true" t="shared" si="31" ref="B49:C51">D49+V49+AB49</f>
        <v>22074</v>
      </c>
      <c r="C49" s="195">
        <f t="shared" si="31"/>
        <v>226</v>
      </c>
      <c r="D49" s="195">
        <f aca="true" t="shared" si="32" ref="D49:E51">F49+H49+J49+N49+P49+L49+R49+T49</f>
        <v>22074</v>
      </c>
      <c r="E49" s="195">
        <f t="shared" si="32"/>
        <v>226</v>
      </c>
      <c r="F49" s="195">
        <v>0</v>
      </c>
      <c r="G49" s="195">
        <v>0</v>
      </c>
      <c r="H49" s="195">
        <v>19261</v>
      </c>
      <c r="I49" s="183">
        <v>170</v>
      </c>
      <c r="J49" s="195">
        <v>0</v>
      </c>
      <c r="K49" s="195">
        <v>0</v>
      </c>
      <c r="L49" s="195">
        <v>0</v>
      </c>
      <c r="M49" s="195">
        <v>0</v>
      </c>
      <c r="N49" s="195">
        <v>2410</v>
      </c>
      <c r="O49" s="195">
        <v>45</v>
      </c>
      <c r="P49" s="196">
        <v>0</v>
      </c>
      <c r="Q49" s="196">
        <v>0</v>
      </c>
      <c r="R49" s="196">
        <v>0</v>
      </c>
      <c r="S49" s="196">
        <v>0</v>
      </c>
      <c r="T49" s="195">
        <v>403</v>
      </c>
      <c r="U49" s="195">
        <v>11</v>
      </c>
      <c r="V49" s="196">
        <f aca="true" t="shared" si="33" ref="V49:W51">+X49+Z49</f>
        <v>0</v>
      </c>
      <c r="W49" s="196">
        <f t="shared" si="33"/>
        <v>0</v>
      </c>
      <c r="X49" s="196">
        <v>0</v>
      </c>
      <c r="Y49" s="196">
        <v>0</v>
      </c>
      <c r="Z49" s="196">
        <v>0</v>
      </c>
      <c r="AA49" s="196">
        <v>0</v>
      </c>
      <c r="AB49" s="195">
        <f aca="true" t="shared" si="34" ref="AB49:AC51">AD49+AF49</f>
        <v>0</v>
      </c>
      <c r="AC49" s="195">
        <f t="shared" si="34"/>
        <v>0</v>
      </c>
      <c r="AD49" s="195">
        <v>0</v>
      </c>
      <c r="AE49" s="195">
        <v>0</v>
      </c>
      <c r="AF49" s="195">
        <v>0</v>
      </c>
      <c r="AG49" s="195">
        <v>0</v>
      </c>
      <c r="AH49" s="182"/>
    </row>
    <row r="50" spans="1:34" s="183" customFormat="1" ht="15.75" customHeight="1">
      <c r="A50" s="353" t="s">
        <v>224</v>
      </c>
      <c r="B50" s="354">
        <f t="shared" si="31"/>
        <v>92</v>
      </c>
      <c r="C50" s="195">
        <f t="shared" si="31"/>
        <v>1</v>
      </c>
      <c r="D50" s="195">
        <f t="shared" si="32"/>
        <v>92</v>
      </c>
      <c r="E50" s="195">
        <f t="shared" si="32"/>
        <v>1</v>
      </c>
      <c r="F50" s="195">
        <v>0</v>
      </c>
      <c r="G50" s="195">
        <v>0</v>
      </c>
      <c r="H50" s="195">
        <v>92</v>
      </c>
      <c r="I50" s="183">
        <v>1</v>
      </c>
      <c r="J50" s="195">
        <v>0</v>
      </c>
      <c r="K50" s="195">
        <v>0</v>
      </c>
      <c r="L50" s="195">
        <v>0</v>
      </c>
      <c r="M50" s="195">
        <v>0</v>
      </c>
      <c r="N50" s="195">
        <v>0</v>
      </c>
      <c r="O50" s="195">
        <v>0</v>
      </c>
      <c r="P50" s="196">
        <v>0</v>
      </c>
      <c r="Q50" s="196">
        <v>0</v>
      </c>
      <c r="R50" s="196">
        <v>0</v>
      </c>
      <c r="S50" s="196">
        <v>0</v>
      </c>
      <c r="T50" s="195">
        <v>0</v>
      </c>
      <c r="U50" s="195">
        <v>0</v>
      </c>
      <c r="V50" s="196">
        <f t="shared" si="33"/>
        <v>0</v>
      </c>
      <c r="W50" s="196">
        <f t="shared" si="33"/>
        <v>0</v>
      </c>
      <c r="X50" s="196">
        <v>0</v>
      </c>
      <c r="Y50" s="196">
        <v>0</v>
      </c>
      <c r="Z50" s="196">
        <v>0</v>
      </c>
      <c r="AA50" s="196">
        <v>0</v>
      </c>
      <c r="AB50" s="195">
        <f t="shared" si="34"/>
        <v>0</v>
      </c>
      <c r="AC50" s="195">
        <f t="shared" si="34"/>
        <v>0</v>
      </c>
      <c r="AD50" s="195">
        <v>0</v>
      </c>
      <c r="AE50" s="195">
        <v>0</v>
      </c>
      <c r="AF50" s="195">
        <v>0</v>
      </c>
      <c r="AG50" s="195">
        <v>0</v>
      </c>
      <c r="AH50" s="182"/>
    </row>
    <row r="51" spans="1:34" s="183" customFormat="1" ht="15.75" customHeight="1">
      <c r="A51" s="353" t="s">
        <v>226</v>
      </c>
      <c r="B51" s="354">
        <f t="shared" si="31"/>
        <v>113</v>
      </c>
      <c r="C51" s="195">
        <f t="shared" si="31"/>
        <v>2</v>
      </c>
      <c r="D51" s="195">
        <f t="shared" si="32"/>
        <v>113</v>
      </c>
      <c r="E51" s="195">
        <f t="shared" si="32"/>
        <v>2</v>
      </c>
      <c r="F51" s="195">
        <v>0</v>
      </c>
      <c r="G51" s="195">
        <v>0</v>
      </c>
      <c r="H51" s="195">
        <v>113</v>
      </c>
      <c r="I51" s="183">
        <v>2</v>
      </c>
      <c r="J51" s="195">
        <v>0</v>
      </c>
      <c r="K51" s="195">
        <v>0</v>
      </c>
      <c r="L51" s="195">
        <v>0</v>
      </c>
      <c r="M51" s="195">
        <v>0</v>
      </c>
      <c r="N51" s="195">
        <v>0</v>
      </c>
      <c r="O51" s="195">
        <v>0</v>
      </c>
      <c r="P51" s="196">
        <v>0</v>
      </c>
      <c r="Q51" s="196">
        <v>0</v>
      </c>
      <c r="R51" s="196">
        <v>0</v>
      </c>
      <c r="S51" s="196">
        <v>0</v>
      </c>
      <c r="T51" s="195">
        <v>0</v>
      </c>
      <c r="U51" s="195">
        <v>0</v>
      </c>
      <c r="V51" s="196">
        <f t="shared" si="33"/>
        <v>0</v>
      </c>
      <c r="W51" s="196">
        <f t="shared" si="33"/>
        <v>0</v>
      </c>
      <c r="X51" s="196">
        <v>0</v>
      </c>
      <c r="Y51" s="196">
        <v>0</v>
      </c>
      <c r="Z51" s="196">
        <v>0</v>
      </c>
      <c r="AA51" s="196">
        <v>0</v>
      </c>
      <c r="AB51" s="195">
        <f t="shared" si="34"/>
        <v>0</v>
      </c>
      <c r="AC51" s="195">
        <f t="shared" si="34"/>
        <v>0</v>
      </c>
      <c r="AD51" s="195">
        <v>0</v>
      </c>
      <c r="AE51" s="195">
        <v>0</v>
      </c>
      <c r="AF51" s="195">
        <v>0</v>
      </c>
      <c r="AG51" s="195">
        <v>0</v>
      </c>
      <c r="AH51" s="182"/>
    </row>
    <row r="52" spans="1:34" s="183" customFormat="1" ht="15.75" customHeight="1">
      <c r="A52" s="353" t="s">
        <v>227</v>
      </c>
      <c r="B52" s="354">
        <f>D52+V52+AB52</f>
        <v>0</v>
      </c>
      <c r="C52" s="195">
        <f>E52+W52+AC52</f>
        <v>2</v>
      </c>
      <c r="D52" s="195">
        <f>F52+H52+J52+N52+P52+L52+R52+T52</f>
        <v>0</v>
      </c>
      <c r="E52" s="195">
        <f>G52+I52+K52+O52+Q52+M52+S52+U52</f>
        <v>2</v>
      </c>
      <c r="F52" s="195">
        <v>0</v>
      </c>
      <c r="G52" s="195">
        <v>0</v>
      </c>
      <c r="H52" s="195">
        <v>0</v>
      </c>
      <c r="I52" s="183">
        <v>2</v>
      </c>
      <c r="J52" s="195">
        <v>0</v>
      </c>
      <c r="K52" s="195">
        <v>0</v>
      </c>
      <c r="L52" s="195">
        <v>0</v>
      </c>
      <c r="M52" s="195">
        <v>0</v>
      </c>
      <c r="N52" s="195">
        <v>0</v>
      </c>
      <c r="O52" s="195">
        <v>0</v>
      </c>
      <c r="P52" s="196">
        <v>0</v>
      </c>
      <c r="Q52" s="196">
        <v>0</v>
      </c>
      <c r="R52" s="196">
        <v>0</v>
      </c>
      <c r="S52" s="196">
        <v>0</v>
      </c>
      <c r="T52" s="195">
        <v>0</v>
      </c>
      <c r="U52" s="195">
        <v>0</v>
      </c>
      <c r="V52" s="196">
        <f>+X52+Z52</f>
        <v>0</v>
      </c>
      <c r="W52" s="196">
        <f>+Y52+AA52</f>
        <v>0</v>
      </c>
      <c r="X52" s="196">
        <v>0</v>
      </c>
      <c r="Y52" s="196">
        <v>0</v>
      </c>
      <c r="Z52" s="196">
        <v>0</v>
      </c>
      <c r="AA52" s="196">
        <v>0</v>
      </c>
      <c r="AB52" s="195">
        <f aca="true" t="shared" si="35" ref="AB52:AC56">AD52+AF52</f>
        <v>0</v>
      </c>
      <c r="AC52" s="195">
        <f t="shared" si="35"/>
        <v>0</v>
      </c>
      <c r="AD52" s="195">
        <v>0</v>
      </c>
      <c r="AE52" s="195">
        <v>0</v>
      </c>
      <c r="AF52" s="195">
        <v>0</v>
      </c>
      <c r="AG52" s="195">
        <v>0</v>
      </c>
      <c r="AH52" s="182"/>
    </row>
    <row r="53" spans="1:34" s="183" customFormat="1" ht="15.75" customHeight="1">
      <c r="A53" s="353" t="s">
        <v>228</v>
      </c>
      <c r="B53" s="354">
        <f>D53+V53+AB53</f>
        <v>0</v>
      </c>
      <c r="C53" s="195">
        <f>E53+W53+AC53</f>
        <v>0</v>
      </c>
      <c r="D53" s="195">
        <f>F53+H53+J53+N53+P53+L53+R53+T53</f>
        <v>0</v>
      </c>
      <c r="E53" s="195">
        <f>G53+I53+K53+O53+Q53+M53+S53+U53</f>
        <v>0</v>
      </c>
      <c r="F53" s="195">
        <v>0</v>
      </c>
      <c r="G53" s="195">
        <v>0</v>
      </c>
      <c r="H53" s="195">
        <v>0</v>
      </c>
      <c r="I53" s="183">
        <v>0</v>
      </c>
      <c r="J53" s="195">
        <v>0</v>
      </c>
      <c r="K53" s="195">
        <v>0</v>
      </c>
      <c r="L53" s="195">
        <v>0</v>
      </c>
      <c r="M53" s="195">
        <v>0</v>
      </c>
      <c r="N53" s="195">
        <v>0</v>
      </c>
      <c r="O53" s="195">
        <v>0</v>
      </c>
      <c r="P53" s="196">
        <v>0</v>
      </c>
      <c r="Q53" s="196">
        <v>0</v>
      </c>
      <c r="R53" s="196">
        <v>0</v>
      </c>
      <c r="S53" s="196">
        <v>0</v>
      </c>
      <c r="T53" s="195">
        <v>0</v>
      </c>
      <c r="U53" s="195">
        <v>0</v>
      </c>
      <c r="V53" s="196">
        <f>+X53+Z53</f>
        <v>0</v>
      </c>
      <c r="W53" s="196">
        <f>+Y53+AA53</f>
        <v>0</v>
      </c>
      <c r="X53" s="196">
        <v>0</v>
      </c>
      <c r="Y53" s="196">
        <v>0</v>
      </c>
      <c r="Z53" s="196">
        <v>0</v>
      </c>
      <c r="AA53" s="196">
        <v>0</v>
      </c>
      <c r="AB53" s="195">
        <f t="shared" si="35"/>
        <v>0</v>
      </c>
      <c r="AC53" s="195">
        <f t="shared" si="35"/>
        <v>0</v>
      </c>
      <c r="AD53" s="195">
        <v>0</v>
      </c>
      <c r="AE53" s="195">
        <v>0</v>
      </c>
      <c r="AF53" s="195">
        <v>0</v>
      </c>
      <c r="AG53" s="195">
        <v>0</v>
      </c>
      <c r="AH53" s="182"/>
    </row>
    <row r="54" spans="1:34" s="183" customFormat="1" ht="15.75" customHeight="1">
      <c r="A54" s="353" t="s">
        <v>230</v>
      </c>
      <c r="B54" s="377">
        <f aca="true" t="shared" si="36" ref="B54:C57">D54+V54+AB54</f>
        <v>-3</v>
      </c>
      <c r="C54" s="195">
        <f t="shared" si="36"/>
        <v>3</v>
      </c>
      <c r="D54" s="195">
        <f aca="true" t="shared" si="37" ref="D54:E57">F54+H54+J54+N54+P54+L54+R54+T54</f>
        <v>-3</v>
      </c>
      <c r="E54" s="195">
        <f t="shared" si="37"/>
        <v>3</v>
      </c>
      <c r="F54" s="195">
        <v>0</v>
      </c>
      <c r="G54" s="195">
        <v>0</v>
      </c>
      <c r="H54" s="195">
        <v>0</v>
      </c>
      <c r="I54" s="183">
        <v>0</v>
      </c>
      <c r="J54" s="195">
        <v>0</v>
      </c>
      <c r="K54" s="195">
        <v>0</v>
      </c>
      <c r="L54" s="195">
        <v>0</v>
      </c>
      <c r="M54" s="195">
        <v>0</v>
      </c>
      <c r="N54" s="195">
        <v>0</v>
      </c>
      <c r="O54" s="195">
        <v>0</v>
      </c>
      <c r="P54" s="196">
        <v>0</v>
      </c>
      <c r="Q54" s="196">
        <v>0</v>
      </c>
      <c r="R54" s="196">
        <v>0</v>
      </c>
      <c r="S54" s="196">
        <v>0</v>
      </c>
      <c r="T54" s="376">
        <v>-3</v>
      </c>
      <c r="U54" s="195">
        <v>3</v>
      </c>
      <c r="V54" s="196">
        <f aca="true" t="shared" si="38" ref="V54:W57">+X54+Z54</f>
        <v>0</v>
      </c>
      <c r="W54" s="196">
        <f t="shared" si="38"/>
        <v>0</v>
      </c>
      <c r="X54" s="196">
        <v>0</v>
      </c>
      <c r="Y54" s="196">
        <v>0</v>
      </c>
      <c r="Z54" s="196">
        <v>0</v>
      </c>
      <c r="AA54" s="196">
        <v>0</v>
      </c>
      <c r="AB54" s="195">
        <f t="shared" si="35"/>
        <v>0</v>
      </c>
      <c r="AC54" s="195">
        <f t="shared" si="35"/>
        <v>0</v>
      </c>
      <c r="AD54" s="195">
        <v>0</v>
      </c>
      <c r="AE54" s="195">
        <v>0</v>
      </c>
      <c r="AF54" s="195">
        <v>0</v>
      </c>
      <c r="AG54" s="195">
        <v>0</v>
      </c>
      <c r="AH54" s="182"/>
    </row>
    <row r="55" spans="1:34" s="183" customFormat="1" ht="15.75" customHeight="1">
      <c r="A55" s="353" t="s">
        <v>231</v>
      </c>
      <c r="B55" s="377">
        <f t="shared" si="36"/>
        <v>23159</v>
      </c>
      <c r="C55" s="195">
        <f t="shared" si="36"/>
        <v>230</v>
      </c>
      <c r="D55" s="195">
        <f t="shared" si="37"/>
        <v>22455</v>
      </c>
      <c r="E55" s="195">
        <f t="shared" si="37"/>
        <v>228</v>
      </c>
      <c r="F55" s="195">
        <v>0</v>
      </c>
      <c r="G55" s="195">
        <v>0</v>
      </c>
      <c r="H55" s="195">
        <v>19654</v>
      </c>
      <c r="I55" s="183">
        <v>171</v>
      </c>
      <c r="J55" s="195">
        <v>0</v>
      </c>
      <c r="K55" s="195">
        <v>0</v>
      </c>
      <c r="L55" s="195">
        <v>0</v>
      </c>
      <c r="M55" s="195">
        <v>0</v>
      </c>
      <c r="N55" s="195">
        <v>2398</v>
      </c>
      <c r="O55" s="195">
        <v>46</v>
      </c>
      <c r="P55" s="196">
        <v>0</v>
      </c>
      <c r="Q55" s="196">
        <v>0</v>
      </c>
      <c r="R55" s="196">
        <v>0</v>
      </c>
      <c r="S55" s="196">
        <v>0</v>
      </c>
      <c r="T55" s="376">
        <v>403</v>
      </c>
      <c r="U55" s="195">
        <v>11</v>
      </c>
      <c r="V55" s="196">
        <f t="shared" si="38"/>
        <v>704</v>
      </c>
      <c r="W55" s="196">
        <f t="shared" si="38"/>
        <v>2</v>
      </c>
      <c r="X55" s="196">
        <v>0</v>
      </c>
      <c r="Y55" s="196">
        <v>0</v>
      </c>
      <c r="Z55" s="196">
        <v>704</v>
      </c>
      <c r="AA55" s="196">
        <v>2</v>
      </c>
      <c r="AB55" s="195">
        <f t="shared" si="35"/>
        <v>0</v>
      </c>
      <c r="AC55" s="195">
        <f t="shared" si="35"/>
        <v>0</v>
      </c>
      <c r="AD55" s="195">
        <v>0</v>
      </c>
      <c r="AE55" s="195">
        <v>0</v>
      </c>
      <c r="AF55" s="195">
        <v>0</v>
      </c>
      <c r="AG55" s="195">
        <v>0</v>
      </c>
      <c r="AH55" s="182"/>
    </row>
    <row r="56" spans="1:34" s="183" customFormat="1" ht="15.75" customHeight="1">
      <c r="A56" s="353" t="s">
        <v>232</v>
      </c>
      <c r="B56" s="377">
        <f t="shared" si="36"/>
        <v>1946</v>
      </c>
      <c r="C56" s="195">
        <f t="shared" si="36"/>
        <v>12</v>
      </c>
      <c r="D56" s="195">
        <f t="shared" si="37"/>
        <v>1802</v>
      </c>
      <c r="E56" s="195">
        <f t="shared" si="37"/>
        <v>10</v>
      </c>
      <c r="F56" s="195">
        <v>0</v>
      </c>
      <c r="G56" s="195">
        <v>0</v>
      </c>
      <c r="H56" s="195">
        <v>1219</v>
      </c>
      <c r="I56" s="183">
        <v>8</v>
      </c>
      <c r="J56" s="195">
        <v>572</v>
      </c>
      <c r="K56" s="195">
        <v>1</v>
      </c>
      <c r="L56" s="195">
        <v>0</v>
      </c>
      <c r="M56" s="195">
        <v>0</v>
      </c>
      <c r="N56" s="195">
        <v>11</v>
      </c>
      <c r="O56" s="195">
        <v>1</v>
      </c>
      <c r="P56" s="196">
        <v>0</v>
      </c>
      <c r="Q56" s="196">
        <v>0</v>
      </c>
      <c r="R56" s="196">
        <v>0</v>
      </c>
      <c r="S56" s="196">
        <v>0</v>
      </c>
      <c r="T56" s="196">
        <v>0</v>
      </c>
      <c r="U56" s="195">
        <v>0</v>
      </c>
      <c r="V56" s="196">
        <f t="shared" si="38"/>
        <v>0</v>
      </c>
      <c r="W56" s="196">
        <f t="shared" si="38"/>
        <v>0</v>
      </c>
      <c r="X56" s="196">
        <v>0</v>
      </c>
      <c r="Y56" s="196">
        <v>0</v>
      </c>
      <c r="Z56" s="196">
        <v>0</v>
      </c>
      <c r="AA56" s="196">
        <v>0</v>
      </c>
      <c r="AB56" s="195">
        <f t="shared" si="35"/>
        <v>144</v>
      </c>
      <c r="AC56" s="195">
        <f t="shared" si="35"/>
        <v>2</v>
      </c>
      <c r="AD56" s="195">
        <v>144</v>
      </c>
      <c r="AE56" s="195">
        <v>2</v>
      </c>
      <c r="AF56" s="195">
        <v>0</v>
      </c>
      <c r="AG56" s="195">
        <v>0</v>
      </c>
      <c r="AH56" s="182"/>
    </row>
    <row r="57" spans="1:34" s="183" customFormat="1" ht="15.75" customHeight="1">
      <c r="A57" s="353" t="s">
        <v>236</v>
      </c>
      <c r="B57" s="377">
        <f t="shared" si="36"/>
        <v>160</v>
      </c>
      <c r="C57" s="195">
        <f t="shared" si="36"/>
        <v>5</v>
      </c>
      <c r="D57" s="195">
        <f t="shared" si="37"/>
        <v>160</v>
      </c>
      <c r="E57" s="195">
        <f t="shared" si="37"/>
        <v>5</v>
      </c>
      <c r="F57" s="195">
        <v>0</v>
      </c>
      <c r="G57" s="195">
        <v>0</v>
      </c>
      <c r="H57" s="195">
        <v>149</v>
      </c>
      <c r="I57" s="183">
        <v>4</v>
      </c>
      <c r="J57" s="195">
        <v>0</v>
      </c>
      <c r="K57" s="195">
        <v>0</v>
      </c>
      <c r="L57" s="195">
        <v>0</v>
      </c>
      <c r="M57" s="195">
        <v>0</v>
      </c>
      <c r="N57" s="195">
        <v>0</v>
      </c>
      <c r="O57" s="195">
        <v>0</v>
      </c>
      <c r="P57" s="196">
        <v>0</v>
      </c>
      <c r="Q57" s="196">
        <v>0</v>
      </c>
      <c r="R57" s="196">
        <v>0</v>
      </c>
      <c r="S57" s="196">
        <v>0</v>
      </c>
      <c r="T57" s="376">
        <v>11</v>
      </c>
      <c r="U57" s="195">
        <v>1</v>
      </c>
      <c r="V57" s="196">
        <f t="shared" si="38"/>
        <v>0</v>
      </c>
      <c r="W57" s="196">
        <f t="shared" si="38"/>
        <v>0</v>
      </c>
      <c r="X57" s="196">
        <v>0</v>
      </c>
      <c r="Y57" s="196">
        <v>0</v>
      </c>
      <c r="Z57" s="196">
        <v>0</v>
      </c>
      <c r="AA57" s="196">
        <v>0</v>
      </c>
      <c r="AB57" s="195">
        <v>0</v>
      </c>
      <c r="AC57" s="195">
        <v>0</v>
      </c>
      <c r="AD57" s="195">
        <v>0</v>
      </c>
      <c r="AE57" s="195">
        <v>0</v>
      </c>
      <c r="AF57" s="195">
        <v>0</v>
      </c>
      <c r="AG57" s="195">
        <v>0</v>
      </c>
      <c r="AH57" s="182"/>
    </row>
    <row r="58" spans="1:34" s="183" customFormat="1" ht="15.75" customHeight="1">
      <c r="A58" s="353" t="s">
        <v>238</v>
      </c>
      <c r="B58" s="377">
        <f aca="true" t="shared" si="39" ref="B58:C60">D58+V58+AB58</f>
        <v>0</v>
      </c>
      <c r="C58" s="195">
        <f t="shared" si="39"/>
        <v>0</v>
      </c>
      <c r="D58" s="195">
        <f aca="true" t="shared" si="40" ref="D58:E60">F58+H58+J58+N58+P58+L58+R58+T58</f>
        <v>0</v>
      </c>
      <c r="E58" s="195">
        <f t="shared" si="40"/>
        <v>0</v>
      </c>
      <c r="F58" s="195">
        <v>0</v>
      </c>
      <c r="G58" s="195">
        <v>0</v>
      </c>
      <c r="H58" s="195">
        <v>0</v>
      </c>
      <c r="I58" s="183">
        <v>0</v>
      </c>
      <c r="J58" s="195">
        <v>0</v>
      </c>
      <c r="K58" s="195">
        <v>0</v>
      </c>
      <c r="L58" s="195">
        <v>0</v>
      </c>
      <c r="M58" s="195">
        <v>0</v>
      </c>
      <c r="N58" s="195">
        <v>0</v>
      </c>
      <c r="O58" s="195">
        <v>0</v>
      </c>
      <c r="P58" s="196">
        <v>0</v>
      </c>
      <c r="Q58" s="196">
        <v>0</v>
      </c>
      <c r="R58" s="196">
        <v>0</v>
      </c>
      <c r="S58" s="196">
        <v>0</v>
      </c>
      <c r="T58" s="195">
        <v>0</v>
      </c>
      <c r="U58" s="195">
        <v>0</v>
      </c>
      <c r="V58" s="196">
        <f aca="true" t="shared" si="41" ref="V58:W60">+X58+Z58</f>
        <v>0</v>
      </c>
      <c r="W58" s="196">
        <f t="shared" si="41"/>
        <v>0</v>
      </c>
      <c r="X58" s="196">
        <v>0</v>
      </c>
      <c r="Y58" s="196">
        <v>0</v>
      </c>
      <c r="Z58" s="196">
        <v>0</v>
      </c>
      <c r="AA58" s="196">
        <v>0</v>
      </c>
      <c r="AB58" s="195">
        <v>0</v>
      </c>
      <c r="AC58" s="195">
        <v>0</v>
      </c>
      <c r="AD58" s="195">
        <v>0</v>
      </c>
      <c r="AE58" s="195">
        <v>0</v>
      </c>
      <c r="AF58" s="195">
        <v>0</v>
      </c>
      <c r="AG58" s="195">
        <v>0</v>
      </c>
      <c r="AH58" s="182"/>
    </row>
    <row r="59" spans="1:34" s="183" customFormat="1" ht="15.75" customHeight="1">
      <c r="A59" s="353" t="s">
        <v>239</v>
      </c>
      <c r="B59" s="377">
        <f t="shared" si="39"/>
        <v>0</v>
      </c>
      <c r="C59" s="195">
        <f t="shared" si="39"/>
        <v>0</v>
      </c>
      <c r="D59" s="195">
        <f t="shared" si="40"/>
        <v>0</v>
      </c>
      <c r="E59" s="195">
        <f t="shared" si="40"/>
        <v>0</v>
      </c>
      <c r="F59" s="195">
        <v>0</v>
      </c>
      <c r="G59" s="195">
        <v>0</v>
      </c>
      <c r="H59" s="195">
        <v>0</v>
      </c>
      <c r="I59" s="183">
        <v>0</v>
      </c>
      <c r="J59" s="195">
        <v>0</v>
      </c>
      <c r="K59" s="195">
        <v>0</v>
      </c>
      <c r="L59" s="195">
        <v>0</v>
      </c>
      <c r="M59" s="195">
        <v>0</v>
      </c>
      <c r="N59" s="195">
        <v>0</v>
      </c>
      <c r="O59" s="195">
        <v>0</v>
      </c>
      <c r="P59" s="196">
        <v>0</v>
      </c>
      <c r="Q59" s="196">
        <v>0</v>
      </c>
      <c r="R59" s="196">
        <v>0</v>
      </c>
      <c r="S59" s="196">
        <v>0</v>
      </c>
      <c r="T59" s="195">
        <v>0</v>
      </c>
      <c r="U59" s="195">
        <v>0</v>
      </c>
      <c r="V59" s="196">
        <f t="shared" si="41"/>
        <v>0</v>
      </c>
      <c r="W59" s="196">
        <f t="shared" si="41"/>
        <v>0</v>
      </c>
      <c r="X59" s="196">
        <v>0</v>
      </c>
      <c r="Y59" s="196">
        <v>0</v>
      </c>
      <c r="Z59" s="196">
        <v>0</v>
      </c>
      <c r="AA59" s="196">
        <v>0</v>
      </c>
      <c r="AB59" s="195">
        <v>0</v>
      </c>
      <c r="AC59" s="195">
        <v>0</v>
      </c>
      <c r="AD59" s="195">
        <v>0</v>
      </c>
      <c r="AE59" s="195">
        <v>0</v>
      </c>
      <c r="AF59" s="195">
        <v>0</v>
      </c>
      <c r="AG59" s="195">
        <v>0</v>
      </c>
      <c r="AH59" s="182"/>
    </row>
    <row r="60" spans="1:34" s="183" customFormat="1" ht="15.75" customHeight="1">
      <c r="A60" s="353" t="s">
        <v>243</v>
      </c>
      <c r="B60" s="377">
        <f t="shared" si="39"/>
        <v>5</v>
      </c>
      <c r="C60" s="195">
        <f t="shared" si="39"/>
        <v>3</v>
      </c>
      <c r="D60" s="195">
        <f t="shared" si="40"/>
        <v>5</v>
      </c>
      <c r="E60" s="195">
        <f t="shared" si="40"/>
        <v>3</v>
      </c>
      <c r="F60" s="195">
        <v>0</v>
      </c>
      <c r="G60" s="195">
        <v>0</v>
      </c>
      <c r="H60" s="195">
        <v>5</v>
      </c>
      <c r="I60" s="183">
        <v>3</v>
      </c>
      <c r="J60" s="195">
        <v>0</v>
      </c>
      <c r="K60" s="195">
        <v>0</v>
      </c>
      <c r="L60" s="195">
        <v>0</v>
      </c>
      <c r="M60" s="195">
        <v>0</v>
      </c>
      <c r="N60" s="195">
        <v>0</v>
      </c>
      <c r="O60" s="195">
        <v>0</v>
      </c>
      <c r="P60" s="196">
        <v>0</v>
      </c>
      <c r="Q60" s="196">
        <v>0</v>
      </c>
      <c r="R60" s="196">
        <v>0</v>
      </c>
      <c r="S60" s="196">
        <v>0</v>
      </c>
      <c r="T60" s="195">
        <v>0</v>
      </c>
      <c r="U60" s="195">
        <v>0</v>
      </c>
      <c r="V60" s="196">
        <f t="shared" si="41"/>
        <v>0</v>
      </c>
      <c r="W60" s="196">
        <f t="shared" si="41"/>
        <v>0</v>
      </c>
      <c r="X60" s="196">
        <v>0</v>
      </c>
      <c r="Y60" s="196">
        <v>0</v>
      </c>
      <c r="Z60" s="196">
        <v>0</v>
      </c>
      <c r="AA60" s="196">
        <v>0</v>
      </c>
      <c r="AB60" s="195">
        <v>0</v>
      </c>
      <c r="AC60" s="195">
        <v>0</v>
      </c>
      <c r="AD60" s="195">
        <v>0</v>
      </c>
      <c r="AE60" s="195">
        <v>0</v>
      </c>
      <c r="AF60" s="195">
        <v>0</v>
      </c>
      <c r="AG60" s="195">
        <v>0</v>
      </c>
      <c r="AH60" s="182"/>
    </row>
    <row r="61" spans="1:34" s="385" customFormat="1" ht="15.75" customHeight="1">
      <c r="A61" s="381" t="s">
        <v>10</v>
      </c>
      <c r="B61" s="382"/>
      <c r="C61" s="382"/>
      <c r="D61" s="382">
        <f>F61+H61+J61+L61+N61+P61+R61+T61</f>
        <v>100</v>
      </c>
      <c r="E61" s="382">
        <f>G61+I61+K61+M61+O61+Q61+S61+U61</f>
        <v>100</v>
      </c>
      <c r="F61" s="383">
        <f>IF($D$60=0,0,ROUND(F60/$D$60*100,2))</f>
        <v>0</v>
      </c>
      <c r="G61" s="383">
        <f>IF($E$60=0,0,ROUND(G60/$E$60*100,2))</f>
        <v>0</v>
      </c>
      <c r="H61" s="383">
        <f>IF($D$60=0,0,ROUND(H60/$D$60*100,2))</f>
        <v>100</v>
      </c>
      <c r="I61" s="383">
        <f>IF($E$60=0,0,ROUND(I60/$E$60*100,2))</f>
        <v>100</v>
      </c>
      <c r="J61" s="383">
        <f>IF($D$60=0,0,ROUND(J60/$D$60*100,2))</f>
        <v>0</v>
      </c>
      <c r="K61" s="383">
        <f>IF($E$60=0,0,ROUND(K60/$E$60*100,2))</f>
        <v>0</v>
      </c>
      <c r="L61" s="383">
        <f>IF($D$60=0,0,ROUND(L60/$D$60*100,2))</f>
        <v>0</v>
      </c>
      <c r="M61" s="383">
        <f>IF($E$60=0,0,ROUND(M60/$E$60*100,2))</f>
        <v>0</v>
      </c>
      <c r="N61" s="383">
        <f>IF($D$60=0,0,ROUND(N60/$D$60*100,2))</f>
        <v>0</v>
      </c>
      <c r="O61" s="383">
        <f>IF($E$60=0,0,ROUND(O60/$E$60*100,2))</f>
        <v>0</v>
      </c>
      <c r="P61" s="383">
        <f>IF($D$60=0,0,ROUND(P60/$D$60*100,2))</f>
        <v>0</v>
      </c>
      <c r="Q61" s="383">
        <f>IF($E$60=0,0,ROUND(Q60/$E$60*100,2))</f>
        <v>0</v>
      </c>
      <c r="R61" s="383">
        <f>IF($D$60=0,0,ROUND(R60/$D$60*100,2))</f>
        <v>0</v>
      </c>
      <c r="S61" s="383">
        <f>IF($E$60=0,0,ROUND(S60/$E$60*100,2))</f>
        <v>0</v>
      </c>
      <c r="T61" s="383">
        <f>IF($D$60=0,0,ROUND(T60/$D$60*100,2))</f>
        <v>0</v>
      </c>
      <c r="U61" s="383">
        <f>IF($E$60=0,0,ROUND(U60/$E$60*100,2))</f>
        <v>0</v>
      </c>
      <c r="V61" s="383">
        <f>X61+Z61</f>
        <v>0</v>
      </c>
      <c r="W61" s="383">
        <f>Y61+AA61</f>
        <v>0</v>
      </c>
      <c r="X61" s="383">
        <f>IF($V$60=0,0,ROUND(X60/$V$60*100,2))</f>
        <v>0</v>
      </c>
      <c r="Y61" s="383">
        <f>IF($W$60=0,0,ROUND(Y60/$W$60*100,2))</f>
        <v>0</v>
      </c>
      <c r="Z61" s="383">
        <f>IF($V$60=0,0,ROUND(Z60/$V$60*100,2))</f>
        <v>0</v>
      </c>
      <c r="AA61" s="383">
        <f>IF($W$60=0,0,ROUND(AA60/$W$60*100,2))</f>
        <v>0</v>
      </c>
      <c r="AB61" s="383">
        <f>AD61+AF61</f>
        <v>0</v>
      </c>
      <c r="AC61" s="383">
        <f>AE61+AG61</f>
        <v>0</v>
      </c>
      <c r="AD61" s="383">
        <f>IF($AB$60=0,0,ROUND(AD60/$AB$60*100,2))</f>
        <v>0</v>
      </c>
      <c r="AE61" s="383">
        <f>IF($AC$60=0,0,ROUND(AE60/$AC$60*100,2))</f>
        <v>0</v>
      </c>
      <c r="AF61" s="383">
        <f>IF($AB$60=0,0,ROUND(AF60/$AB$60*100,2))</f>
        <v>0</v>
      </c>
      <c r="AG61" s="383">
        <f>IF($AC$60=0,0,ROUND(AG60/$AC$60*100,2))</f>
        <v>0</v>
      </c>
      <c r="AH61" s="384"/>
    </row>
    <row r="62" spans="1:34" s="104" customFormat="1" ht="15.75" customHeight="1">
      <c r="A62" s="124" t="s">
        <v>89</v>
      </c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6"/>
      <c r="AF62" s="126"/>
      <c r="AG62" s="126"/>
      <c r="AH62" s="125"/>
    </row>
    <row r="63" spans="1:44" s="104" customFormat="1" ht="15.75" customHeight="1">
      <c r="A63" s="127" t="s">
        <v>132</v>
      </c>
      <c r="B63" s="102"/>
      <c r="C63" s="102"/>
      <c r="D63" s="102"/>
      <c r="E63" s="102"/>
      <c r="F63" s="102"/>
      <c r="G63" s="102"/>
      <c r="R63" s="108"/>
      <c r="S63" s="108"/>
      <c r="AH63" s="128"/>
      <c r="AI63" s="128"/>
      <c r="AL63" s="126"/>
      <c r="AM63" s="126"/>
      <c r="AN63" s="126"/>
      <c r="AO63" s="126"/>
      <c r="AP63" s="126"/>
      <c r="AQ63" s="126"/>
      <c r="AR63" s="102"/>
    </row>
    <row r="64" spans="1:34" ht="16.5">
      <c r="A64" s="127" t="s">
        <v>133</v>
      </c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29"/>
    </row>
  </sheetData>
  <sheetProtection/>
  <mergeCells count="8">
    <mergeCell ref="AB3:AG3"/>
    <mergeCell ref="N4:O4"/>
    <mergeCell ref="AD4:AE4"/>
    <mergeCell ref="AF4:AG4"/>
    <mergeCell ref="B3:C4"/>
    <mergeCell ref="D3:Q3"/>
    <mergeCell ref="R3:U3"/>
    <mergeCell ref="V3:AA3"/>
  </mergeCells>
  <printOptions horizontalCentered="1" verticalCentered="1"/>
  <pageMargins left="1.03" right="0.4" top="0.35433070866141736" bottom="0.3937007874015748" header="0.4330708661417323" footer="0.6299212598425197"/>
  <pageSetup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64"/>
  <sheetViews>
    <sheetView zoomScale="150" zoomScaleNormal="150" zoomScalePageLayoutView="0"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61" sqref="I61"/>
    </sheetView>
  </sheetViews>
  <sheetFormatPr defaultColWidth="9.00390625" defaultRowHeight="36" customHeight="1"/>
  <cols>
    <col min="1" max="1" width="10.00390625" style="65" customWidth="1"/>
    <col min="2" max="2" width="9.625" style="65" customWidth="1"/>
    <col min="3" max="3" width="7.50390625" style="65" customWidth="1"/>
    <col min="4" max="4" width="9.25390625" style="65" customWidth="1"/>
    <col min="5" max="5" width="8.25390625" style="65" customWidth="1"/>
    <col min="6" max="6" width="9.75390625" style="65" bestFit="1" customWidth="1"/>
    <col min="7" max="7" width="6.625" style="65" customWidth="1"/>
    <col min="8" max="8" width="9.375" style="65" customWidth="1"/>
    <col min="9" max="9" width="7.125" style="65" customWidth="1"/>
    <col min="10" max="10" width="7.50390625" style="65" customWidth="1"/>
    <col min="11" max="11" width="6.125" style="65" customWidth="1"/>
    <col min="12" max="12" width="6.375" style="65" customWidth="1"/>
    <col min="13" max="13" width="6.125" style="65" customWidth="1"/>
    <col min="14" max="14" width="7.375" style="65" customWidth="1"/>
    <col min="15" max="15" width="6.50390625" style="65" customWidth="1"/>
    <col min="16" max="16" width="7.375" style="65" customWidth="1"/>
    <col min="17" max="17" width="6.625" style="65" customWidth="1"/>
    <col min="18" max="18" width="7.375" style="65" customWidth="1"/>
    <col min="19" max="19" width="6.125" style="65" customWidth="1"/>
    <col min="20" max="20" width="8.00390625" style="65" customWidth="1"/>
    <col min="21" max="21" width="6.50390625" style="65" customWidth="1"/>
    <col min="22" max="22" width="7.50390625" style="65" customWidth="1"/>
    <col min="23" max="23" width="6.25390625" style="65" customWidth="1"/>
    <col min="24" max="24" width="7.125" style="65" customWidth="1"/>
    <col min="25" max="25" width="6.125" style="65" customWidth="1"/>
    <col min="26" max="26" width="7.25390625" style="65" customWidth="1"/>
    <col min="27" max="27" width="6.75390625" style="65" bestFit="1" customWidth="1"/>
    <col min="28" max="28" width="7.00390625" style="65" customWidth="1"/>
    <col min="29" max="29" width="6.375" style="65" customWidth="1"/>
    <col min="30" max="30" width="8.25390625" style="65" bestFit="1" customWidth="1"/>
    <col min="31" max="31" width="6.75390625" style="65" bestFit="1" customWidth="1"/>
    <col min="32" max="32" width="6.75390625" style="65" customWidth="1"/>
    <col min="33" max="33" width="7.125" style="65" customWidth="1"/>
    <col min="34" max="16384" width="9.00390625" style="11" customWidth="1"/>
  </cols>
  <sheetData>
    <row r="1" spans="1:44" ht="18" customHeight="1">
      <c r="A1" s="219" t="s">
        <v>150</v>
      </c>
      <c r="B1" s="44"/>
      <c r="C1" s="44"/>
      <c r="D1" s="43"/>
      <c r="E1" s="50"/>
      <c r="F1" s="50"/>
      <c r="G1" s="50"/>
      <c r="H1" s="51"/>
      <c r="I1" s="51"/>
      <c r="J1" s="52"/>
      <c r="K1" s="52"/>
      <c r="L1" s="52"/>
      <c r="M1" s="52"/>
      <c r="N1" s="51"/>
      <c r="O1" s="51"/>
      <c r="P1" s="52"/>
      <c r="Q1" s="52"/>
      <c r="R1" s="219" t="s">
        <v>155</v>
      </c>
      <c r="S1" s="51"/>
      <c r="T1" s="52"/>
      <c r="U1" s="52"/>
      <c r="V1" s="52"/>
      <c r="W1" s="52"/>
      <c r="X1" s="52"/>
      <c r="Y1" s="52"/>
      <c r="Z1" s="52"/>
      <c r="AA1" s="43"/>
      <c r="AB1" s="43"/>
      <c r="AC1" s="43"/>
      <c r="AD1" s="52"/>
      <c r="AE1" s="52"/>
      <c r="AF1" s="52"/>
      <c r="AG1" s="52"/>
      <c r="AH1" s="27"/>
      <c r="AI1" s="12"/>
      <c r="AJ1" s="12"/>
      <c r="AK1" s="12"/>
      <c r="AL1" s="12"/>
      <c r="AM1" s="12"/>
      <c r="AN1" s="12"/>
      <c r="AO1" s="12"/>
      <c r="AP1" s="12"/>
      <c r="AQ1" s="12"/>
      <c r="AR1" s="12"/>
    </row>
    <row r="2" spans="1:34" ht="18" customHeight="1">
      <c r="A2" s="50"/>
      <c r="B2" s="50"/>
      <c r="C2" s="50"/>
      <c r="D2" s="50"/>
      <c r="E2" s="50"/>
      <c r="F2" s="50"/>
      <c r="G2" s="50"/>
      <c r="H2" s="52"/>
      <c r="I2" s="52"/>
      <c r="J2" s="52"/>
      <c r="K2" s="52"/>
      <c r="L2" s="52"/>
      <c r="M2" s="52"/>
      <c r="N2" s="52"/>
      <c r="O2" s="52"/>
      <c r="P2" s="52"/>
      <c r="Q2" s="69" t="s">
        <v>85</v>
      </c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90" t="s">
        <v>67</v>
      </c>
      <c r="AD2"/>
      <c r="AE2" s="52"/>
      <c r="AF2" s="43"/>
      <c r="AG2" s="69" t="s">
        <v>85</v>
      </c>
      <c r="AH2" s="27"/>
    </row>
    <row r="3" spans="1:34" ht="15.75" customHeight="1">
      <c r="A3" s="53"/>
      <c r="B3" s="474" t="s">
        <v>52</v>
      </c>
      <c r="C3" s="406"/>
      <c r="D3" s="475" t="s">
        <v>63</v>
      </c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7"/>
      <c r="R3" s="465" t="s">
        <v>86</v>
      </c>
      <c r="S3" s="466"/>
      <c r="T3" s="466"/>
      <c r="U3" s="467"/>
      <c r="V3" s="475" t="s">
        <v>41</v>
      </c>
      <c r="W3" s="466"/>
      <c r="X3" s="466"/>
      <c r="Y3" s="466"/>
      <c r="Z3" s="466"/>
      <c r="AA3" s="467"/>
      <c r="AB3" s="475" t="s">
        <v>66</v>
      </c>
      <c r="AC3" s="476"/>
      <c r="AD3" s="476"/>
      <c r="AE3" s="476"/>
      <c r="AF3" s="476"/>
      <c r="AG3" s="477"/>
      <c r="AH3" s="27"/>
    </row>
    <row r="4" spans="1:34" ht="15.75" customHeight="1">
      <c r="A4" s="54" t="s">
        <v>68</v>
      </c>
      <c r="B4" s="407"/>
      <c r="C4" s="409"/>
      <c r="D4" s="56" t="s">
        <v>42</v>
      </c>
      <c r="E4" s="57"/>
      <c r="F4" s="56" t="s">
        <v>43</v>
      </c>
      <c r="G4" s="57"/>
      <c r="H4" s="56" t="s">
        <v>44</v>
      </c>
      <c r="I4" s="57"/>
      <c r="J4" s="56" t="s">
        <v>45</v>
      </c>
      <c r="K4" s="57"/>
      <c r="L4" s="58" t="s">
        <v>61</v>
      </c>
      <c r="M4" s="58"/>
      <c r="N4" s="475" t="s">
        <v>53</v>
      </c>
      <c r="O4" s="477"/>
      <c r="P4" s="59" t="s">
        <v>46</v>
      </c>
      <c r="Q4" s="59"/>
      <c r="R4" s="59" t="s">
        <v>49</v>
      </c>
      <c r="S4" s="59"/>
      <c r="T4" s="59" t="s">
        <v>50</v>
      </c>
      <c r="U4" s="59"/>
      <c r="V4" s="59" t="s">
        <v>42</v>
      </c>
      <c r="W4" s="59"/>
      <c r="X4" s="59" t="s">
        <v>47</v>
      </c>
      <c r="Y4" s="59"/>
      <c r="Z4" s="59" t="s">
        <v>48</v>
      </c>
      <c r="AA4" s="59"/>
      <c r="AB4" s="56" t="s">
        <v>65</v>
      </c>
      <c r="AC4" s="56"/>
      <c r="AD4" s="475" t="s">
        <v>62</v>
      </c>
      <c r="AE4" s="477"/>
      <c r="AF4" s="475" t="s">
        <v>64</v>
      </c>
      <c r="AG4" s="477"/>
      <c r="AH4" s="28"/>
    </row>
    <row r="5" spans="1:34" ht="15.75" customHeight="1">
      <c r="A5" s="60"/>
      <c r="B5" s="55" t="s">
        <v>51</v>
      </c>
      <c r="C5" s="55" t="s">
        <v>57</v>
      </c>
      <c r="D5" s="60" t="s">
        <v>51</v>
      </c>
      <c r="E5" s="55" t="s">
        <v>75</v>
      </c>
      <c r="F5" s="60" t="s">
        <v>51</v>
      </c>
      <c r="G5" s="55" t="s">
        <v>75</v>
      </c>
      <c r="H5" s="60" t="s">
        <v>51</v>
      </c>
      <c r="I5" s="55" t="s">
        <v>57</v>
      </c>
      <c r="J5" s="61" t="s">
        <v>51</v>
      </c>
      <c r="K5" s="55" t="s">
        <v>57</v>
      </c>
      <c r="L5" s="61" t="s">
        <v>51</v>
      </c>
      <c r="M5" s="55" t="s">
        <v>57</v>
      </c>
      <c r="N5" s="60" t="s">
        <v>51</v>
      </c>
      <c r="O5" s="55" t="s">
        <v>57</v>
      </c>
      <c r="P5" s="60" t="s">
        <v>51</v>
      </c>
      <c r="Q5" s="55" t="s">
        <v>57</v>
      </c>
      <c r="R5" s="60" t="s">
        <v>51</v>
      </c>
      <c r="S5" s="55" t="s">
        <v>75</v>
      </c>
      <c r="T5" s="60" t="s">
        <v>51</v>
      </c>
      <c r="U5" s="55" t="s">
        <v>75</v>
      </c>
      <c r="V5" s="60" t="s">
        <v>51</v>
      </c>
      <c r="W5" s="55" t="s">
        <v>57</v>
      </c>
      <c r="X5" s="60" t="s">
        <v>51</v>
      </c>
      <c r="Y5" s="55" t="s">
        <v>75</v>
      </c>
      <c r="Z5" s="60" t="s">
        <v>51</v>
      </c>
      <c r="AA5" s="55" t="s">
        <v>75</v>
      </c>
      <c r="AB5" s="60" t="s">
        <v>51</v>
      </c>
      <c r="AC5" s="55" t="s">
        <v>57</v>
      </c>
      <c r="AD5" s="60" t="s">
        <v>51</v>
      </c>
      <c r="AE5" s="55" t="s">
        <v>57</v>
      </c>
      <c r="AF5" s="60" t="s">
        <v>51</v>
      </c>
      <c r="AG5" s="55" t="s">
        <v>57</v>
      </c>
      <c r="AH5" s="28"/>
    </row>
    <row r="6" spans="1:34" ht="15.75" customHeight="1">
      <c r="A6" s="89" t="s">
        <v>78</v>
      </c>
      <c r="B6" s="75">
        <f>D6++V6+AB6</f>
        <v>2712423</v>
      </c>
      <c r="C6" s="75">
        <f>E6++W6+AC6</f>
        <v>65174</v>
      </c>
      <c r="D6" s="75">
        <f>F6+H6+J6+N6+P6+L6+R6+T6</f>
        <v>2368833</v>
      </c>
      <c r="E6" s="75">
        <f>G6+I6+K6+O6+Q6+M6+S6+U6</f>
        <v>58902</v>
      </c>
      <c r="F6" s="75">
        <v>533729</v>
      </c>
      <c r="G6" s="75">
        <v>1024</v>
      </c>
      <c r="H6" s="75">
        <v>1336191</v>
      </c>
      <c r="I6" s="75">
        <v>47500</v>
      </c>
      <c r="J6" s="75">
        <v>28994</v>
      </c>
      <c r="K6" s="75">
        <v>360</v>
      </c>
      <c r="L6" s="75">
        <v>78</v>
      </c>
      <c r="M6" s="75">
        <v>11</v>
      </c>
      <c r="N6" s="75">
        <v>373396</v>
      </c>
      <c r="O6" s="75">
        <v>9065</v>
      </c>
      <c r="P6" s="75">
        <v>71693</v>
      </c>
      <c r="Q6" s="75">
        <v>154</v>
      </c>
      <c r="R6" s="75">
        <v>18795</v>
      </c>
      <c r="S6" s="75">
        <v>66</v>
      </c>
      <c r="T6" s="75">
        <v>5957</v>
      </c>
      <c r="U6" s="75">
        <v>722</v>
      </c>
      <c r="V6" s="75">
        <f>+X6+Z6</f>
        <v>231484</v>
      </c>
      <c r="W6" s="75">
        <f>+Y6+AA6</f>
        <v>3002</v>
      </c>
      <c r="X6" s="75">
        <v>136728</v>
      </c>
      <c r="Y6" s="75">
        <v>504</v>
      </c>
      <c r="Z6" s="75">
        <v>94756</v>
      </c>
      <c r="AA6" s="75">
        <v>2498</v>
      </c>
      <c r="AB6" s="75">
        <f>AD6+AF6</f>
        <v>112106</v>
      </c>
      <c r="AC6" s="75">
        <f>AE6+AG6</f>
        <v>3270</v>
      </c>
      <c r="AD6" s="75">
        <v>90623</v>
      </c>
      <c r="AE6" s="75">
        <v>2231</v>
      </c>
      <c r="AF6" s="75">
        <v>21483</v>
      </c>
      <c r="AG6" s="75">
        <v>1039</v>
      </c>
      <c r="AH6" s="29"/>
    </row>
    <row r="7" spans="1:34" ht="15.75" customHeight="1">
      <c r="A7" s="89" t="s">
        <v>79</v>
      </c>
      <c r="B7" s="75">
        <v>3449599</v>
      </c>
      <c r="C7" s="75">
        <v>76072</v>
      </c>
      <c r="D7" s="75">
        <v>3073700</v>
      </c>
      <c r="E7" s="75">
        <v>70250</v>
      </c>
      <c r="F7" s="75">
        <v>414948</v>
      </c>
      <c r="G7" s="75">
        <v>717</v>
      </c>
      <c r="H7" s="75">
        <v>2072119</v>
      </c>
      <c r="I7" s="75">
        <v>57498</v>
      </c>
      <c r="J7" s="75">
        <v>36211</v>
      </c>
      <c r="K7" s="75">
        <v>855</v>
      </c>
      <c r="L7" s="75">
        <v>87</v>
      </c>
      <c r="M7" s="75">
        <v>10</v>
      </c>
      <c r="N7" s="75">
        <v>396883</v>
      </c>
      <c r="O7" s="75">
        <v>9904</v>
      </c>
      <c r="P7" s="75">
        <v>130032</v>
      </c>
      <c r="Q7" s="75">
        <v>200</v>
      </c>
      <c r="R7" s="75">
        <v>13508</v>
      </c>
      <c r="S7" s="75">
        <v>43</v>
      </c>
      <c r="T7" s="75">
        <v>9912</v>
      </c>
      <c r="U7" s="75">
        <v>1023</v>
      </c>
      <c r="V7" s="75">
        <v>257537</v>
      </c>
      <c r="W7" s="75">
        <v>3081</v>
      </c>
      <c r="X7" s="75">
        <v>147076</v>
      </c>
      <c r="Y7" s="75">
        <v>426</v>
      </c>
      <c r="Z7" s="75">
        <v>110461</v>
      </c>
      <c r="AA7" s="75">
        <v>2655</v>
      </c>
      <c r="AB7" s="75">
        <v>118362</v>
      </c>
      <c r="AC7" s="75">
        <v>2741</v>
      </c>
      <c r="AD7" s="76">
        <v>94354</v>
      </c>
      <c r="AE7" s="76">
        <v>2011</v>
      </c>
      <c r="AF7" s="75">
        <v>24008</v>
      </c>
      <c r="AG7" s="75">
        <v>730</v>
      </c>
      <c r="AH7" s="29"/>
    </row>
    <row r="8" spans="1:34" ht="15.75" customHeight="1">
      <c r="A8" s="89" t="s">
        <v>88</v>
      </c>
      <c r="B8" s="75">
        <v>4588673</v>
      </c>
      <c r="C8" s="75">
        <v>92556</v>
      </c>
      <c r="D8" s="75">
        <v>4115247</v>
      </c>
      <c r="E8" s="75">
        <v>86073</v>
      </c>
      <c r="F8" s="75">
        <v>372191</v>
      </c>
      <c r="G8" s="75">
        <v>635</v>
      </c>
      <c r="H8" s="75">
        <v>3076645</v>
      </c>
      <c r="I8" s="75">
        <v>71503</v>
      </c>
      <c r="J8" s="75">
        <v>43844</v>
      </c>
      <c r="K8" s="75">
        <v>1107</v>
      </c>
      <c r="L8" s="75">
        <v>111</v>
      </c>
      <c r="M8" s="75">
        <v>12</v>
      </c>
      <c r="N8" s="75">
        <v>428676</v>
      </c>
      <c r="O8" s="75">
        <v>11012</v>
      </c>
      <c r="P8" s="75">
        <v>154563</v>
      </c>
      <c r="Q8" s="75">
        <v>255</v>
      </c>
      <c r="R8" s="75">
        <v>23177</v>
      </c>
      <c r="S8" s="75">
        <v>75</v>
      </c>
      <c r="T8" s="75">
        <v>16040</v>
      </c>
      <c r="U8" s="75">
        <v>1474</v>
      </c>
      <c r="V8" s="75">
        <v>317869</v>
      </c>
      <c r="W8" s="75">
        <v>3519</v>
      </c>
      <c r="X8" s="75">
        <v>175124</v>
      </c>
      <c r="Y8" s="75">
        <v>482</v>
      </c>
      <c r="Z8" s="75">
        <v>142745</v>
      </c>
      <c r="AA8" s="75">
        <v>3037</v>
      </c>
      <c r="AB8" s="75">
        <v>155557</v>
      </c>
      <c r="AC8" s="75">
        <v>2964</v>
      </c>
      <c r="AD8" s="76">
        <v>130950</v>
      </c>
      <c r="AE8" s="76">
        <v>2306</v>
      </c>
      <c r="AF8" s="75">
        <v>24607</v>
      </c>
      <c r="AG8" s="75">
        <v>658</v>
      </c>
      <c r="AH8" s="29"/>
    </row>
    <row r="9" spans="1:34" ht="15.75" customHeight="1">
      <c r="A9" s="89" t="s">
        <v>93</v>
      </c>
      <c r="B9" s="75">
        <v>5916552</v>
      </c>
      <c r="C9" s="75">
        <v>149173</v>
      </c>
      <c r="D9" s="75">
        <v>5376486</v>
      </c>
      <c r="E9" s="75">
        <v>142468</v>
      </c>
      <c r="F9" s="75">
        <v>382417</v>
      </c>
      <c r="G9" s="75">
        <v>643</v>
      </c>
      <c r="H9" s="75">
        <v>4307219</v>
      </c>
      <c r="I9" s="75">
        <v>120905</v>
      </c>
      <c r="J9" s="75">
        <v>56583</v>
      </c>
      <c r="K9" s="75">
        <v>1587</v>
      </c>
      <c r="L9" s="75">
        <v>137</v>
      </c>
      <c r="M9" s="75">
        <v>18</v>
      </c>
      <c r="N9" s="75">
        <v>440218</v>
      </c>
      <c r="O9" s="75">
        <v>16206</v>
      </c>
      <c r="P9" s="75">
        <v>131771</v>
      </c>
      <c r="Q9" s="75">
        <v>266</v>
      </c>
      <c r="R9" s="75">
        <v>34832</v>
      </c>
      <c r="S9" s="75">
        <v>81</v>
      </c>
      <c r="T9" s="75">
        <v>23309</v>
      </c>
      <c r="U9" s="75">
        <v>2762</v>
      </c>
      <c r="V9" s="75">
        <v>365054</v>
      </c>
      <c r="W9" s="75">
        <v>3792</v>
      </c>
      <c r="X9" s="75">
        <v>181229</v>
      </c>
      <c r="Y9" s="75">
        <v>439</v>
      </c>
      <c r="Z9" s="75">
        <v>183825</v>
      </c>
      <c r="AA9" s="75">
        <v>3353</v>
      </c>
      <c r="AB9" s="75">
        <v>175012</v>
      </c>
      <c r="AC9" s="75">
        <v>2913</v>
      </c>
      <c r="AD9" s="76">
        <v>152432</v>
      </c>
      <c r="AE9" s="76">
        <v>2376</v>
      </c>
      <c r="AF9" s="75">
        <v>22580</v>
      </c>
      <c r="AG9" s="75">
        <v>537</v>
      </c>
      <c r="AH9" s="29"/>
    </row>
    <row r="10" spans="1:34" ht="15.75" customHeight="1">
      <c r="A10" s="89" t="s">
        <v>136</v>
      </c>
      <c r="B10" s="75">
        <v>7395122</v>
      </c>
      <c r="C10" s="75">
        <v>119648</v>
      </c>
      <c r="D10" s="75">
        <v>6779321</v>
      </c>
      <c r="E10" s="75">
        <v>112927</v>
      </c>
      <c r="F10" s="75">
        <v>452324</v>
      </c>
      <c r="G10" s="75">
        <v>561</v>
      </c>
      <c r="H10" s="75">
        <v>5639566</v>
      </c>
      <c r="I10" s="75">
        <v>96444</v>
      </c>
      <c r="J10" s="75">
        <v>64141</v>
      </c>
      <c r="K10" s="75">
        <v>1656</v>
      </c>
      <c r="L10" s="75">
        <v>137</v>
      </c>
      <c r="M10" s="75">
        <v>12</v>
      </c>
      <c r="N10" s="75">
        <v>448056</v>
      </c>
      <c r="O10" s="75">
        <v>11401</v>
      </c>
      <c r="P10" s="75">
        <v>108032</v>
      </c>
      <c r="Q10" s="75">
        <v>126</v>
      </c>
      <c r="R10" s="75">
        <v>28855</v>
      </c>
      <c r="S10" s="75">
        <v>80</v>
      </c>
      <c r="T10" s="75">
        <v>38210</v>
      </c>
      <c r="U10" s="75">
        <v>2647</v>
      </c>
      <c r="V10" s="75">
        <v>432867</v>
      </c>
      <c r="W10" s="75">
        <v>4056</v>
      </c>
      <c r="X10" s="75">
        <v>211433</v>
      </c>
      <c r="Y10" s="75">
        <v>449</v>
      </c>
      <c r="Z10" s="75">
        <v>221434</v>
      </c>
      <c r="AA10" s="75">
        <v>3607</v>
      </c>
      <c r="AB10" s="75">
        <v>182934</v>
      </c>
      <c r="AC10" s="75">
        <v>2665</v>
      </c>
      <c r="AD10" s="76">
        <v>158727</v>
      </c>
      <c r="AE10" s="76">
        <v>2207</v>
      </c>
      <c r="AF10" s="75">
        <v>24207</v>
      </c>
      <c r="AG10" s="75">
        <v>458</v>
      </c>
      <c r="AH10" s="29"/>
    </row>
    <row r="11" spans="1:34" ht="15.75" customHeight="1">
      <c r="A11" s="89" t="s">
        <v>138</v>
      </c>
      <c r="B11" s="75">
        <v>8717057</v>
      </c>
      <c r="C11" s="75">
        <v>132123</v>
      </c>
      <c r="D11" s="75">
        <v>8040519</v>
      </c>
      <c r="E11" s="75">
        <v>125420</v>
      </c>
      <c r="F11" s="75">
        <v>400419</v>
      </c>
      <c r="G11" s="75">
        <v>456</v>
      </c>
      <c r="H11" s="75">
        <v>6973482</v>
      </c>
      <c r="I11" s="75">
        <v>108394</v>
      </c>
      <c r="J11" s="75">
        <v>59640</v>
      </c>
      <c r="K11" s="75">
        <v>1387</v>
      </c>
      <c r="L11" s="75">
        <v>137</v>
      </c>
      <c r="M11" s="75">
        <v>12</v>
      </c>
      <c r="N11" s="75">
        <v>427153</v>
      </c>
      <c r="O11" s="75">
        <v>11622</v>
      </c>
      <c r="P11" s="75">
        <v>88058</v>
      </c>
      <c r="Q11" s="75">
        <v>119</v>
      </c>
      <c r="R11" s="75">
        <v>37335</v>
      </c>
      <c r="S11" s="75">
        <v>104</v>
      </c>
      <c r="T11" s="75">
        <v>54295</v>
      </c>
      <c r="U11" s="75">
        <v>3326</v>
      </c>
      <c r="V11" s="75">
        <v>483662</v>
      </c>
      <c r="W11" s="75">
        <v>4198</v>
      </c>
      <c r="X11" s="75">
        <v>217980</v>
      </c>
      <c r="Y11" s="75">
        <v>428</v>
      </c>
      <c r="Z11" s="75">
        <v>265682</v>
      </c>
      <c r="AA11" s="75">
        <v>3770</v>
      </c>
      <c r="AB11" s="75">
        <v>192876</v>
      </c>
      <c r="AC11" s="75">
        <v>2505</v>
      </c>
      <c r="AD11" s="76">
        <v>164255</v>
      </c>
      <c r="AE11" s="76">
        <v>2018</v>
      </c>
      <c r="AF11" s="75">
        <v>28621</v>
      </c>
      <c r="AG11" s="75">
        <v>487</v>
      </c>
      <c r="AH11" s="29"/>
    </row>
    <row r="12" spans="1:34" ht="15.75" customHeight="1">
      <c r="A12" s="89" t="s">
        <v>139</v>
      </c>
      <c r="B12" s="209">
        <f aca="true" t="shared" si="0" ref="B12:C14">D12++V12+AB12</f>
        <v>10097046</v>
      </c>
      <c r="C12" s="209">
        <f t="shared" si="0"/>
        <v>143967</v>
      </c>
      <c r="D12" s="209">
        <f aca="true" t="shared" si="1" ref="D12:E14">F12+H12+J12+N12+P12+L12+R12+T12</f>
        <v>9365667</v>
      </c>
      <c r="E12" s="209">
        <f t="shared" si="1"/>
        <v>137264</v>
      </c>
      <c r="F12" s="209">
        <v>348261</v>
      </c>
      <c r="G12" s="209">
        <v>395</v>
      </c>
      <c r="H12" s="209">
        <v>8348532</v>
      </c>
      <c r="I12" s="209">
        <v>119528</v>
      </c>
      <c r="J12" s="209">
        <v>59077</v>
      </c>
      <c r="K12" s="209">
        <v>1241</v>
      </c>
      <c r="L12" s="209">
        <v>137</v>
      </c>
      <c r="M12" s="209">
        <v>12</v>
      </c>
      <c r="N12" s="209">
        <v>430546</v>
      </c>
      <c r="O12" s="209">
        <v>11726</v>
      </c>
      <c r="P12" s="209">
        <v>59411</v>
      </c>
      <c r="Q12" s="209">
        <v>71</v>
      </c>
      <c r="R12" s="209">
        <v>44703</v>
      </c>
      <c r="S12" s="209">
        <v>129</v>
      </c>
      <c r="T12" s="209">
        <v>75000</v>
      </c>
      <c r="U12" s="209">
        <v>4162</v>
      </c>
      <c r="V12" s="209">
        <f aca="true" t="shared" si="2" ref="V12:W14">+X12+Z12</f>
        <v>537277</v>
      </c>
      <c r="W12" s="209">
        <f t="shared" si="2"/>
        <v>4268</v>
      </c>
      <c r="X12" s="209">
        <v>232501</v>
      </c>
      <c r="Y12" s="209">
        <v>387</v>
      </c>
      <c r="Z12" s="209">
        <v>304776</v>
      </c>
      <c r="AA12" s="209">
        <v>3881</v>
      </c>
      <c r="AB12" s="209">
        <f aca="true" t="shared" si="3" ref="AB12:AC14">AD12+AF12</f>
        <v>194102</v>
      </c>
      <c r="AC12" s="209">
        <f t="shared" si="3"/>
        <v>2435</v>
      </c>
      <c r="AD12" s="210">
        <v>167623</v>
      </c>
      <c r="AE12" s="210">
        <v>1994</v>
      </c>
      <c r="AF12" s="209">
        <v>26479</v>
      </c>
      <c r="AG12" s="209">
        <v>441</v>
      </c>
      <c r="AH12" s="29"/>
    </row>
    <row r="13" spans="1:34" ht="15.75" customHeight="1">
      <c r="A13" s="89" t="s">
        <v>144</v>
      </c>
      <c r="B13" s="209">
        <f t="shared" si="0"/>
        <v>11555525</v>
      </c>
      <c r="C13" s="209">
        <f t="shared" si="0"/>
        <v>156259</v>
      </c>
      <c r="D13" s="209">
        <f t="shared" si="1"/>
        <v>10793003</v>
      </c>
      <c r="E13" s="209">
        <f t="shared" si="1"/>
        <v>149935</v>
      </c>
      <c r="F13" s="209">
        <v>272764</v>
      </c>
      <c r="G13" s="209">
        <v>297</v>
      </c>
      <c r="H13" s="209">
        <v>9842375</v>
      </c>
      <c r="I13" s="209">
        <v>131457</v>
      </c>
      <c r="J13" s="209">
        <v>59158</v>
      </c>
      <c r="K13" s="209">
        <v>1243</v>
      </c>
      <c r="L13" s="209">
        <v>137</v>
      </c>
      <c r="M13" s="209">
        <v>12</v>
      </c>
      <c r="N13" s="209">
        <v>420079</v>
      </c>
      <c r="O13" s="209">
        <v>11684</v>
      </c>
      <c r="P13" s="209">
        <v>51113</v>
      </c>
      <c r="Q13" s="209">
        <v>53</v>
      </c>
      <c r="R13" s="209">
        <v>46955</v>
      </c>
      <c r="S13" s="209">
        <v>137</v>
      </c>
      <c r="T13" s="209">
        <v>100422</v>
      </c>
      <c r="U13" s="209">
        <v>5052</v>
      </c>
      <c r="V13" s="209">
        <f t="shared" si="2"/>
        <v>596901</v>
      </c>
      <c r="W13" s="209">
        <f t="shared" si="2"/>
        <v>4497</v>
      </c>
      <c r="X13" s="209">
        <v>247195</v>
      </c>
      <c r="Y13" s="209">
        <v>436</v>
      </c>
      <c r="Z13" s="209">
        <v>349706</v>
      </c>
      <c r="AA13" s="209">
        <v>4061</v>
      </c>
      <c r="AB13" s="209">
        <f t="shared" si="3"/>
        <v>165621</v>
      </c>
      <c r="AC13" s="209">
        <f t="shared" si="3"/>
        <v>1827</v>
      </c>
      <c r="AD13" s="210">
        <v>140941</v>
      </c>
      <c r="AE13" s="210">
        <v>1479</v>
      </c>
      <c r="AF13" s="209">
        <v>24680</v>
      </c>
      <c r="AG13" s="209">
        <v>348</v>
      </c>
      <c r="AH13" s="29"/>
    </row>
    <row r="14" spans="1:34" ht="15.75" customHeight="1">
      <c r="A14" s="89" t="s">
        <v>158</v>
      </c>
      <c r="B14" s="275">
        <f t="shared" si="0"/>
        <v>13712299</v>
      </c>
      <c r="C14" s="275">
        <f t="shared" si="0"/>
        <v>173890</v>
      </c>
      <c r="D14" s="275">
        <f t="shared" si="1"/>
        <v>12882206</v>
      </c>
      <c r="E14" s="275">
        <f t="shared" si="1"/>
        <v>166954</v>
      </c>
      <c r="F14" s="209">
        <v>264869</v>
      </c>
      <c r="G14" s="209">
        <v>258</v>
      </c>
      <c r="H14" s="209">
        <v>11872894</v>
      </c>
      <c r="I14" s="209">
        <v>147181</v>
      </c>
      <c r="J14" s="209">
        <v>74834</v>
      </c>
      <c r="K14" s="209">
        <v>1468</v>
      </c>
      <c r="L14" s="209">
        <v>137</v>
      </c>
      <c r="M14" s="209">
        <v>12</v>
      </c>
      <c r="N14" s="209">
        <v>444025</v>
      </c>
      <c r="O14" s="209">
        <v>11790</v>
      </c>
      <c r="P14" s="209">
        <v>56967</v>
      </c>
      <c r="Q14" s="209">
        <v>53</v>
      </c>
      <c r="R14" s="209">
        <v>39656</v>
      </c>
      <c r="S14" s="209">
        <v>104</v>
      </c>
      <c r="T14" s="209">
        <v>128824</v>
      </c>
      <c r="U14" s="209">
        <v>6088</v>
      </c>
      <c r="V14" s="209">
        <f t="shared" si="2"/>
        <v>629296</v>
      </c>
      <c r="W14" s="209">
        <f t="shared" si="2"/>
        <v>4569</v>
      </c>
      <c r="X14" s="209">
        <v>237823</v>
      </c>
      <c r="Y14" s="209">
        <v>414</v>
      </c>
      <c r="Z14" s="209">
        <v>391473</v>
      </c>
      <c r="AA14" s="209">
        <v>4155</v>
      </c>
      <c r="AB14" s="209">
        <f t="shared" si="3"/>
        <v>200797</v>
      </c>
      <c r="AC14" s="209">
        <f t="shared" si="3"/>
        <v>2367</v>
      </c>
      <c r="AD14" s="210">
        <v>178220</v>
      </c>
      <c r="AE14" s="210">
        <v>1952</v>
      </c>
      <c r="AF14" s="209">
        <v>22577</v>
      </c>
      <c r="AG14" s="209">
        <v>415</v>
      </c>
      <c r="AH14" s="29"/>
    </row>
    <row r="15" spans="1:34" ht="15.75" customHeight="1">
      <c r="A15" s="273" t="s">
        <v>164</v>
      </c>
      <c r="B15" s="275">
        <f>D15++V15+AB15</f>
        <v>16698819</v>
      </c>
      <c r="C15" s="275">
        <f>E15++W15++AC15</f>
        <v>194764</v>
      </c>
      <c r="D15" s="275">
        <f>F15+H15+J15+N15+P15+L15+R15+T15</f>
        <v>15722151</v>
      </c>
      <c r="E15" s="275">
        <f>G15+I15+K15+O15+Q15+M15+S15+U15</f>
        <v>187764</v>
      </c>
      <c r="F15" s="209">
        <v>201201</v>
      </c>
      <c r="G15" s="209">
        <v>177</v>
      </c>
      <c r="H15" s="209">
        <v>14741485</v>
      </c>
      <c r="I15" s="209">
        <v>166518</v>
      </c>
      <c r="J15" s="209">
        <v>88076</v>
      </c>
      <c r="K15" s="209">
        <v>1829</v>
      </c>
      <c r="L15" s="209">
        <v>139</v>
      </c>
      <c r="M15" s="209">
        <v>12</v>
      </c>
      <c r="N15" s="209">
        <v>427119</v>
      </c>
      <c r="O15" s="209">
        <v>11670</v>
      </c>
      <c r="P15" s="209">
        <v>34351</v>
      </c>
      <c r="Q15" s="209">
        <v>34</v>
      </c>
      <c r="R15" s="209">
        <v>62792</v>
      </c>
      <c r="S15" s="209">
        <v>161</v>
      </c>
      <c r="T15" s="209">
        <v>166988</v>
      </c>
      <c r="U15" s="209">
        <v>7363</v>
      </c>
      <c r="V15" s="209">
        <f>+X15+Z15</f>
        <v>701591</v>
      </c>
      <c r="W15" s="209">
        <f>+Y15+AA15</f>
        <v>4610</v>
      </c>
      <c r="X15" s="209">
        <v>260969</v>
      </c>
      <c r="Y15" s="209">
        <v>352</v>
      </c>
      <c r="Z15" s="209">
        <v>440622</v>
      </c>
      <c r="AA15" s="209">
        <v>4258</v>
      </c>
      <c r="AB15" s="209">
        <f>AD15+AF15</f>
        <v>275077</v>
      </c>
      <c r="AC15" s="209">
        <f>AE15+AG15</f>
        <v>2390</v>
      </c>
      <c r="AD15" s="210">
        <v>251044</v>
      </c>
      <c r="AE15" s="210">
        <v>1866</v>
      </c>
      <c r="AF15" s="209">
        <v>24033</v>
      </c>
      <c r="AG15" s="209">
        <v>524</v>
      </c>
      <c r="AH15" s="29"/>
    </row>
    <row r="16" spans="1:34" ht="15.75" customHeight="1" hidden="1">
      <c r="A16" s="233" t="s">
        <v>171</v>
      </c>
      <c r="B16" s="264">
        <f aca="true" t="shared" si="4" ref="B16:B28">D16++V16+AB16</f>
        <v>16056095</v>
      </c>
      <c r="C16" s="264">
        <f aca="true" t="shared" si="5" ref="C16:C28">E16++W16++AC16</f>
        <v>188667</v>
      </c>
      <c r="D16" s="264">
        <f aca="true" t="shared" si="6" ref="D16:E28">F16+H16+J16+N16+P16+L16+R16+T16</f>
        <v>15320429</v>
      </c>
      <c r="E16" s="264">
        <f t="shared" si="6"/>
        <v>182938</v>
      </c>
      <c r="F16" s="197">
        <v>142862</v>
      </c>
      <c r="G16" s="197">
        <v>136</v>
      </c>
      <c r="H16" s="197">
        <v>14496365</v>
      </c>
      <c r="I16" s="197">
        <v>162468</v>
      </c>
      <c r="J16" s="197">
        <v>58632</v>
      </c>
      <c r="K16" s="197">
        <v>1313</v>
      </c>
      <c r="L16" s="197">
        <v>139</v>
      </c>
      <c r="M16" s="197">
        <v>12</v>
      </c>
      <c r="N16" s="197">
        <v>409074</v>
      </c>
      <c r="O16" s="197">
        <v>11619</v>
      </c>
      <c r="P16" s="197">
        <v>18880</v>
      </c>
      <c r="Q16" s="197">
        <v>21</v>
      </c>
      <c r="R16" s="197">
        <v>29388</v>
      </c>
      <c r="S16" s="197">
        <v>87</v>
      </c>
      <c r="T16" s="197">
        <v>165089</v>
      </c>
      <c r="U16" s="197">
        <v>7282</v>
      </c>
      <c r="V16" s="197">
        <f aca="true" t="shared" si="7" ref="V16:W27">+X16+Z16</f>
        <v>582257</v>
      </c>
      <c r="W16" s="197">
        <f t="shared" si="7"/>
        <v>4295</v>
      </c>
      <c r="X16" s="197">
        <v>154312</v>
      </c>
      <c r="Y16" s="197">
        <v>209</v>
      </c>
      <c r="Z16" s="197">
        <v>427945</v>
      </c>
      <c r="AA16" s="197">
        <v>4086</v>
      </c>
      <c r="AB16" s="197">
        <f aca="true" t="shared" si="8" ref="AB16:AC27">AD16+AF16</f>
        <v>153409</v>
      </c>
      <c r="AC16" s="197">
        <f t="shared" si="8"/>
        <v>1434</v>
      </c>
      <c r="AD16" s="198">
        <v>135431</v>
      </c>
      <c r="AE16" s="198">
        <v>1080</v>
      </c>
      <c r="AF16" s="197">
        <v>17978</v>
      </c>
      <c r="AG16" s="197">
        <v>354</v>
      </c>
      <c r="AH16" s="29"/>
    </row>
    <row r="17" spans="1:34" ht="15.75" customHeight="1" hidden="1">
      <c r="A17" s="233" t="s">
        <v>172</v>
      </c>
      <c r="B17" s="264">
        <f t="shared" si="4"/>
        <v>16276491</v>
      </c>
      <c r="C17" s="264">
        <f t="shared" si="5"/>
        <v>190449</v>
      </c>
      <c r="D17" s="264">
        <f t="shared" si="6"/>
        <v>15480602</v>
      </c>
      <c r="E17" s="264">
        <f t="shared" si="6"/>
        <v>184351</v>
      </c>
      <c r="F17" s="197">
        <v>158422</v>
      </c>
      <c r="G17" s="197">
        <v>146</v>
      </c>
      <c r="H17" s="197">
        <v>14623650</v>
      </c>
      <c r="I17" s="197">
        <v>163640</v>
      </c>
      <c r="J17" s="197">
        <v>67974</v>
      </c>
      <c r="K17" s="197">
        <v>1474</v>
      </c>
      <c r="L17" s="197">
        <v>139</v>
      </c>
      <c r="M17" s="197">
        <v>12</v>
      </c>
      <c r="N17" s="197">
        <v>411217</v>
      </c>
      <c r="O17" s="197">
        <v>11629</v>
      </c>
      <c r="P17" s="197">
        <v>20485</v>
      </c>
      <c r="Q17" s="197">
        <v>22</v>
      </c>
      <c r="R17" s="197">
        <v>32468</v>
      </c>
      <c r="S17" s="197">
        <v>99</v>
      </c>
      <c r="T17" s="197">
        <v>166247</v>
      </c>
      <c r="U17" s="197">
        <v>7329</v>
      </c>
      <c r="V17" s="197">
        <f t="shared" si="7"/>
        <v>609020</v>
      </c>
      <c r="W17" s="197">
        <f t="shared" si="7"/>
        <v>4377</v>
      </c>
      <c r="X17" s="197">
        <v>176629</v>
      </c>
      <c r="Y17" s="197">
        <v>241</v>
      </c>
      <c r="Z17" s="197">
        <v>432391</v>
      </c>
      <c r="AA17" s="197">
        <v>4136</v>
      </c>
      <c r="AB17" s="197">
        <f t="shared" si="8"/>
        <v>186869</v>
      </c>
      <c r="AC17" s="197">
        <f t="shared" si="8"/>
        <v>1721</v>
      </c>
      <c r="AD17" s="198">
        <v>167546</v>
      </c>
      <c r="AE17" s="198">
        <v>1311</v>
      </c>
      <c r="AF17" s="197">
        <v>19323</v>
      </c>
      <c r="AG17" s="197">
        <v>410</v>
      </c>
      <c r="AH17" s="29"/>
    </row>
    <row r="18" spans="1:34" ht="15.75" customHeight="1" hidden="1">
      <c r="A18" s="233" t="s">
        <v>173</v>
      </c>
      <c r="B18" s="264">
        <f t="shared" si="4"/>
        <v>16416571</v>
      </c>
      <c r="C18" s="264">
        <f t="shared" si="5"/>
        <v>191485</v>
      </c>
      <c r="D18" s="264">
        <f t="shared" si="6"/>
        <v>15571724</v>
      </c>
      <c r="E18" s="264">
        <f t="shared" si="6"/>
        <v>185154</v>
      </c>
      <c r="F18" s="197">
        <v>174587</v>
      </c>
      <c r="G18" s="197">
        <v>157</v>
      </c>
      <c r="H18" s="197">
        <v>14681240</v>
      </c>
      <c r="I18" s="197">
        <v>164308</v>
      </c>
      <c r="J18" s="197">
        <v>72912</v>
      </c>
      <c r="K18" s="197">
        <v>1555</v>
      </c>
      <c r="L18" s="197">
        <v>139</v>
      </c>
      <c r="M18" s="197">
        <v>12</v>
      </c>
      <c r="N18" s="197">
        <v>414424</v>
      </c>
      <c r="O18" s="197">
        <v>11635</v>
      </c>
      <c r="P18" s="197">
        <v>25652</v>
      </c>
      <c r="Q18" s="197">
        <v>26</v>
      </c>
      <c r="R18" s="197">
        <v>36067</v>
      </c>
      <c r="S18" s="197">
        <v>115</v>
      </c>
      <c r="T18" s="197">
        <v>166703</v>
      </c>
      <c r="U18" s="197">
        <v>7346</v>
      </c>
      <c r="V18" s="197">
        <f t="shared" si="7"/>
        <v>635794</v>
      </c>
      <c r="W18" s="197">
        <f t="shared" si="7"/>
        <v>4447</v>
      </c>
      <c r="X18" s="197">
        <v>200907</v>
      </c>
      <c r="Y18" s="197">
        <v>276</v>
      </c>
      <c r="Z18" s="197">
        <v>434887</v>
      </c>
      <c r="AA18" s="197">
        <v>4171</v>
      </c>
      <c r="AB18" s="197">
        <f t="shared" si="8"/>
        <v>209053</v>
      </c>
      <c r="AC18" s="197">
        <f t="shared" si="8"/>
        <v>1884</v>
      </c>
      <c r="AD18" s="198">
        <v>188891</v>
      </c>
      <c r="AE18" s="198">
        <v>1456</v>
      </c>
      <c r="AF18" s="197">
        <v>20162</v>
      </c>
      <c r="AG18" s="197">
        <v>428</v>
      </c>
      <c r="AH18" s="29"/>
    </row>
    <row r="19" spans="1:34" ht="15.75" customHeight="1" hidden="1">
      <c r="A19" s="233" t="s">
        <v>174</v>
      </c>
      <c r="B19" s="264">
        <f t="shared" si="4"/>
        <v>16512839</v>
      </c>
      <c r="C19" s="264">
        <f t="shared" si="5"/>
        <v>192203</v>
      </c>
      <c r="D19" s="264">
        <f t="shared" si="6"/>
        <v>15625565</v>
      </c>
      <c r="E19" s="264">
        <f t="shared" si="6"/>
        <v>185665</v>
      </c>
      <c r="F19" s="197">
        <v>184692</v>
      </c>
      <c r="G19" s="197">
        <v>166</v>
      </c>
      <c r="H19" s="197">
        <v>14706152</v>
      </c>
      <c r="I19" s="197">
        <v>164703</v>
      </c>
      <c r="J19" s="197">
        <v>77673</v>
      </c>
      <c r="K19" s="197">
        <v>1634</v>
      </c>
      <c r="L19" s="197">
        <v>139</v>
      </c>
      <c r="M19" s="197">
        <v>12</v>
      </c>
      <c r="N19" s="197">
        <v>418353</v>
      </c>
      <c r="O19" s="197">
        <v>11643</v>
      </c>
      <c r="P19" s="197">
        <v>25652</v>
      </c>
      <c r="Q19" s="197">
        <v>26</v>
      </c>
      <c r="R19" s="197">
        <v>46108</v>
      </c>
      <c r="S19" s="197">
        <v>128</v>
      </c>
      <c r="T19" s="197">
        <v>166796</v>
      </c>
      <c r="U19" s="197">
        <v>7353</v>
      </c>
      <c r="V19" s="197">
        <f t="shared" si="7"/>
        <v>655070</v>
      </c>
      <c r="W19" s="197">
        <f t="shared" si="7"/>
        <v>4495</v>
      </c>
      <c r="X19" s="197">
        <v>217878</v>
      </c>
      <c r="Y19" s="197">
        <v>297</v>
      </c>
      <c r="Z19" s="197">
        <v>437192</v>
      </c>
      <c r="AA19" s="197">
        <v>4198</v>
      </c>
      <c r="AB19" s="197">
        <f t="shared" si="8"/>
        <v>232204</v>
      </c>
      <c r="AC19" s="197">
        <f t="shared" si="8"/>
        <v>2043</v>
      </c>
      <c r="AD19" s="198">
        <v>211962</v>
      </c>
      <c r="AE19" s="198">
        <v>1607</v>
      </c>
      <c r="AF19" s="197">
        <v>20242</v>
      </c>
      <c r="AG19" s="197">
        <v>436</v>
      </c>
      <c r="AH19" s="29"/>
    </row>
    <row r="20" spans="1:34" ht="15.75" customHeight="1" hidden="1">
      <c r="A20" s="233" t="s">
        <v>176</v>
      </c>
      <c r="B20" s="264">
        <f t="shared" si="4"/>
        <v>16574409</v>
      </c>
      <c r="C20" s="264">
        <f t="shared" si="5"/>
        <v>192668</v>
      </c>
      <c r="D20" s="264">
        <f t="shared" si="6"/>
        <v>15647999</v>
      </c>
      <c r="E20" s="264">
        <f t="shared" si="6"/>
        <v>185955</v>
      </c>
      <c r="F20" s="197">
        <v>185125</v>
      </c>
      <c r="G20" s="197">
        <v>167</v>
      </c>
      <c r="H20" s="197">
        <v>14714114</v>
      </c>
      <c r="I20" s="197">
        <v>164930</v>
      </c>
      <c r="J20" s="197">
        <v>78968</v>
      </c>
      <c r="K20" s="197">
        <v>1659</v>
      </c>
      <c r="L20" s="197">
        <v>139</v>
      </c>
      <c r="M20" s="197">
        <v>12</v>
      </c>
      <c r="N20" s="197">
        <v>419550</v>
      </c>
      <c r="O20" s="197">
        <v>11652</v>
      </c>
      <c r="P20" s="197">
        <v>27693</v>
      </c>
      <c r="Q20" s="197">
        <v>28</v>
      </c>
      <c r="R20" s="197">
        <v>55449</v>
      </c>
      <c r="S20" s="197">
        <v>146</v>
      </c>
      <c r="T20" s="197">
        <v>166961</v>
      </c>
      <c r="U20" s="197">
        <v>7361</v>
      </c>
      <c r="V20" s="197">
        <f t="shared" si="7"/>
        <v>674578</v>
      </c>
      <c r="W20" s="197">
        <f t="shared" si="7"/>
        <v>4541</v>
      </c>
      <c r="X20" s="197">
        <v>235879</v>
      </c>
      <c r="Y20" s="197">
        <v>320</v>
      </c>
      <c r="Z20" s="197">
        <v>438699</v>
      </c>
      <c r="AA20" s="197">
        <v>4221</v>
      </c>
      <c r="AB20" s="197">
        <f t="shared" si="8"/>
        <v>251832</v>
      </c>
      <c r="AC20" s="197">
        <f t="shared" si="8"/>
        <v>2172</v>
      </c>
      <c r="AD20" s="198">
        <v>231454</v>
      </c>
      <c r="AE20" s="198">
        <v>1730</v>
      </c>
      <c r="AF20" s="197">
        <v>20378</v>
      </c>
      <c r="AG20" s="197">
        <v>442</v>
      </c>
      <c r="AH20" s="29"/>
    </row>
    <row r="21" spans="1:34" ht="15.75" customHeight="1" hidden="1">
      <c r="A21" s="233" t="s">
        <v>178</v>
      </c>
      <c r="B21" s="264">
        <f t="shared" si="4"/>
        <v>16698819</v>
      </c>
      <c r="C21" s="264">
        <f t="shared" si="5"/>
        <v>194764</v>
      </c>
      <c r="D21" s="264">
        <f t="shared" si="6"/>
        <v>15722151</v>
      </c>
      <c r="E21" s="264">
        <f t="shared" si="6"/>
        <v>187764</v>
      </c>
      <c r="F21" s="197">
        <v>201201</v>
      </c>
      <c r="G21" s="197">
        <v>177</v>
      </c>
      <c r="H21" s="197">
        <v>14741485</v>
      </c>
      <c r="I21" s="197">
        <v>166518</v>
      </c>
      <c r="J21" s="197">
        <v>88076</v>
      </c>
      <c r="K21" s="197">
        <v>1829</v>
      </c>
      <c r="L21" s="197">
        <v>139</v>
      </c>
      <c r="M21" s="197">
        <v>12</v>
      </c>
      <c r="N21" s="197">
        <v>427119</v>
      </c>
      <c r="O21" s="197">
        <v>11670</v>
      </c>
      <c r="P21" s="197">
        <v>34351</v>
      </c>
      <c r="Q21" s="197">
        <v>34</v>
      </c>
      <c r="R21" s="197">
        <v>62792</v>
      </c>
      <c r="S21" s="197">
        <v>161</v>
      </c>
      <c r="T21" s="197">
        <v>166988</v>
      </c>
      <c r="U21" s="197">
        <v>7363</v>
      </c>
      <c r="V21" s="197">
        <f t="shared" si="7"/>
        <v>701591</v>
      </c>
      <c r="W21" s="197">
        <f t="shared" si="7"/>
        <v>4610</v>
      </c>
      <c r="X21" s="197">
        <v>260969</v>
      </c>
      <c r="Y21" s="197">
        <v>352</v>
      </c>
      <c r="Z21" s="197">
        <v>440622</v>
      </c>
      <c r="AA21" s="197">
        <v>4258</v>
      </c>
      <c r="AB21" s="197">
        <f t="shared" si="8"/>
        <v>275077</v>
      </c>
      <c r="AC21" s="197">
        <f t="shared" si="8"/>
        <v>2390</v>
      </c>
      <c r="AD21" s="198">
        <v>251044</v>
      </c>
      <c r="AE21" s="198">
        <v>1866</v>
      </c>
      <c r="AF21" s="197">
        <v>24033</v>
      </c>
      <c r="AG21" s="197">
        <v>524</v>
      </c>
      <c r="AH21" s="29"/>
    </row>
    <row r="22" spans="1:34" ht="15.75" customHeight="1">
      <c r="A22" s="273" t="s">
        <v>181</v>
      </c>
      <c r="B22" s="275">
        <f>B34</f>
        <v>20225256</v>
      </c>
      <c r="C22" s="275">
        <f aca="true" t="shared" si="9" ref="C22:AG22">C34</f>
        <v>213336</v>
      </c>
      <c r="D22" s="275">
        <f t="shared" si="9"/>
        <v>19136400</v>
      </c>
      <c r="E22" s="275">
        <f t="shared" si="9"/>
        <v>206353</v>
      </c>
      <c r="F22" s="275">
        <f t="shared" si="9"/>
        <v>194532</v>
      </c>
      <c r="G22" s="275">
        <f t="shared" si="9"/>
        <v>164</v>
      </c>
      <c r="H22" s="275">
        <f t="shared" si="9"/>
        <v>18045130</v>
      </c>
      <c r="I22" s="275">
        <f t="shared" si="9"/>
        <v>184591</v>
      </c>
      <c r="J22" s="275">
        <f t="shared" si="9"/>
        <v>98951</v>
      </c>
      <c r="K22" s="275">
        <f t="shared" si="9"/>
        <v>1491</v>
      </c>
      <c r="L22" s="275">
        <f t="shared" si="9"/>
        <v>176</v>
      </c>
      <c r="M22" s="275">
        <f t="shared" si="9"/>
        <v>21</v>
      </c>
      <c r="N22" s="275">
        <f t="shared" si="9"/>
        <v>440270</v>
      </c>
      <c r="O22" s="275">
        <f t="shared" si="9"/>
        <v>11586</v>
      </c>
      <c r="P22" s="275">
        <f t="shared" si="9"/>
        <v>37783</v>
      </c>
      <c r="Q22" s="275">
        <f t="shared" si="9"/>
        <v>29</v>
      </c>
      <c r="R22" s="275">
        <f t="shared" si="9"/>
        <v>118195</v>
      </c>
      <c r="S22" s="275">
        <f t="shared" si="9"/>
        <v>215</v>
      </c>
      <c r="T22" s="275">
        <f t="shared" si="9"/>
        <v>201363</v>
      </c>
      <c r="U22" s="275">
        <f t="shared" si="9"/>
        <v>8256</v>
      </c>
      <c r="V22" s="275">
        <f t="shared" si="9"/>
        <v>751899</v>
      </c>
      <c r="W22" s="275">
        <f t="shared" si="9"/>
        <v>4451</v>
      </c>
      <c r="X22" s="275">
        <f t="shared" si="9"/>
        <v>263980</v>
      </c>
      <c r="Y22" s="275">
        <f t="shared" si="9"/>
        <v>329</v>
      </c>
      <c r="Z22" s="275">
        <f t="shared" si="9"/>
        <v>487919</v>
      </c>
      <c r="AA22" s="275">
        <f t="shared" si="9"/>
        <v>4122</v>
      </c>
      <c r="AB22" s="275">
        <f t="shared" si="9"/>
        <v>336957</v>
      </c>
      <c r="AC22" s="275">
        <f t="shared" si="9"/>
        <v>2532</v>
      </c>
      <c r="AD22" s="275">
        <f t="shared" si="9"/>
        <v>304759</v>
      </c>
      <c r="AE22" s="275">
        <f t="shared" si="9"/>
        <v>2060</v>
      </c>
      <c r="AF22" s="275">
        <f t="shared" si="9"/>
        <v>32198</v>
      </c>
      <c r="AG22" s="275">
        <f t="shared" si="9"/>
        <v>472</v>
      </c>
      <c r="AH22" s="29"/>
    </row>
    <row r="23" spans="1:34" ht="15.75" customHeight="1" hidden="1">
      <c r="A23" s="233" t="s">
        <v>179</v>
      </c>
      <c r="B23" s="264">
        <f t="shared" si="4"/>
        <v>8655274</v>
      </c>
      <c r="C23" s="264">
        <f t="shared" si="5"/>
        <v>94956</v>
      </c>
      <c r="D23" s="264">
        <f t="shared" si="6"/>
        <v>8607707</v>
      </c>
      <c r="E23" s="264">
        <f t="shared" si="6"/>
        <v>94713</v>
      </c>
      <c r="F23" s="197">
        <v>25892</v>
      </c>
      <c r="G23" s="197">
        <v>22</v>
      </c>
      <c r="H23" s="197">
        <v>8272117</v>
      </c>
      <c r="I23" s="197">
        <v>84991</v>
      </c>
      <c r="J23" s="197">
        <v>8971</v>
      </c>
      <c r="K23" s="197">
        <v>100</v>
      </c>
      <c r="L23" s="197">
        <v>71</v>
      </c>
      <c r="M23" s="197">
        <v>6</v>
      </c>
      <c r="N23" s="197">
        <v>188116</v>
      </c>
      <c r="O23" s="197">
        <v>5698</v>
      </c>
      <c r="P23" s="197">
        <v>4200</v>
      </c>
      <c r="Q23" s="197">
        <v>2</v>
      </c>
      <c r="R23" s="197">
        <v>14584</v>
      </c>
      <c r="S23" s="197">
        <v>23</v>
      </c>
      <c r="T23" s="197">
        <v>93756</v>
      </c>
      <c r="U23" s="197">
        <v>3871</v>
      </c>
      <c r="V23" s="197">
        <f t="shared" si="7"/>
        <v>24479</v>
      </c>
      <c r="W23" s="197">
        <f t="shared" si="7"/>
        <v>53</v>
      </c>
      <c r="X23" s="197">
        <v>22174</v>
      </c>
      <c r="Y23" s="197">
        <v>27</v>
      </c>
      <c r="Z23" s="197">
        <v>2305</v>
      </c>
      <c r="AA23" s="197">
        <v>26</v>
      </c>
      <c r="AB23" s="197">
        <f t="shared" si="8"/>
        <v>23088</v>
      </c>
      <c r="AC23" s="197">
        <f t="shared" si="8"/>
        <v>190</v>
      </c>
      <c r="AD23" s="198">
        <v>15612</v>
      </c>
      <c r="AE23" s="198">
        <v>122</v>
      </c>
      <c r="AF23" s="197">
        <v>7476</v>
      </c>
      <c r="AG23" s="197">
        <v>68</v>
      </c>
      <c r="AH23" s="29"/>
    </row>
    <row r="24" spans="1:34" ht="15.75" customHeight="1" hidden="1">
      <c r="A24" s="233" t="s">
        <v>183</v>
      </c>
      <c r="B24" s="264">
        <f t="shared" si="4"/>
        <v>8797407</v>
      </c>
      <c r="C24" s="264">
        <f t="shared" si="5"/>
        <v>95860</v>
      </c>
      <c r="D24" s="264">
        <f t="shared" si="6"/>
        <v>8704162</v>
      </c>
      <c r="E24" s="264">
        <f t="shared" si="6"/>
        <v>95390</v>
      </c>
      <c r="F24" s="197">
        <v>39260</v>
      </c>
      <c r="G24" s="197">
        <v>40</v>
      </c>
      <c r="H24" s="197">
        <v>8335056</v>
      </c>
      <c r="I24" s="197">
        <v>85513</v>
      </c>
      <c r="J24" s="197">
        <v>14021</v>
      </c>
      <c r="K24" s="197">
        <v>165</v>
      </c>
      <c r="L24" s="197">
        <v>71</v>
      </c>
      <c r="M24" s="197">
        <v>6</v>
      </c>
      <c r="N24" s="197">
        <v>190159</v>
      </c>
      <c r="O24" s="197">
        <v>5715</v>
      </c>
      <c r="P24" s="197">
        <v>4200</v>
      </c>
      <c r="Q24" s="197">
        <v>2</v>
      </c>
      <c r="R24" s="197">
        <v>26799</v>
      </c>
      <c r="S24" s="197">
        <v>39</v>
      </c>
      <c r="T24" s="197">
        <v>94596</v>
      </c>
      <c r="U24" s="197">
        <v>3910</v>
      </c>
      <c r="V24" s="197">
        <f t="shared" si="7"/>
        <v>50182</v>
      </c>
      <c r="W24" s="197">
        <f t="shared" si="7"/>
        <v>104</v>
      </c>
      <c r="X24" s="197">
        <v>45537</v>
      </c>
      <c r="Y24" s="197">
        <v>57</v>
      </c>
      <c r="Z24" s="197">
        <v>4645</v>
      </c>
      <c r="AA24" s="197">
        <v>47</v>
      </c>
      <c r="AB24" s="197">
        <f t="shared" si="8"/>
        <v>43063</v>
      </c>
      <c r="AC24" s="197">
        <f t="shared" si="8"/>
        <v>366</v>
      </c>
      <c r="AD24" s="198">
        <v>35169</v>
      </c>
      <c r="AE24" s="198">
        <v>284</v>
      </c>
      <c r="AF24" s="197">
        <v>7894</v>
      </c>
      <c r="AG24" s="197">
        <v>82</v>
      </c>
      <c r="AH24" s="29"/>
    </row>
    <row r="25" spans="1:34" ht="15.75" customHeight="1" hidden="1">
      <c r="A25" s="233" t="s">
        <v>186</v>
      </c>
      <c r="B25" s="264">
        <f t="shared" si="4"/>
        <v>9110217</v>
      </c>
      <c r="C25" s="264">
        <f t="shared" si="5"/>
        <v>98614</v>
      </c>
      <c r="D25" s="264">
        <f t="shared" si="6"/>
        <v>8953488</v>
      </c>
      <c r="E25" s="264">
        <f t="shared" si="6"/>
        <v>97833</v>
      </c>
      <c r="F25" s="197">
        <v>60427</v>
      </c>
      <c r="G25" s="197">
        <v>57</v>
      </c>
      <c r="H25" s="197">
        <v>8522891</v>
      </c>
      <c r="I25" s="197">
        <v>87530</v>
      </c>
      <c r="J25" s="197">
        <v>32693</v>
      </c>
      <c r="K25" s="197">
        <v>486</v>
      </c>
      <c r="L25" s="197">
        <v>71</v>
      </c>
      <c r="M25" s="197">
        <v>6</v>
      </c>
      <c r="N25" s="197">
        <v>203012</v>
      </c>
      <c r="O25" s="197">
        <v>5750</v>
      </c>
      <c r="P25" s="197">
        <v>7471</v>
      </c>
      <c r="Q25" s="197">
        <v>5</v>
      </c>
      <c r="R25" s="197">
        <v>31625</v>
      </c>
      <c r="S25" s="197">
        <v>52</v>
      </c>
      <c r="T25" s="197">
        <v>95298</v>
      </c>
      <c r="U25" s="197">
        <v>3947</v>
      </c>
      <c r="V25" s="197">
        <f t="shared" si="7"/>
        <v>85518</v>
      </c>
      <c r="W25" s="197">
        <f t="shared" si="7"/>
        <v>181</v>
      </c>
      <c r="X25" s="197">
        <v>76820</v>
      </c>
      <c r="Y25" s="197">
        <v>94</v>
      </c>
      <c r="Z25" s="197">
        <v>8698</v>
      </c>
      <c r="AA25" s="197">
        <v>87</v>
      </c>
      <c r="AB25" s="197">
        <f t="shared" si="8"/>
        <v>71211</v>
      </c>
      <c r="AC25" s="197">
        <f t="shared" si="8"/>
        <v>600</v>
      </c>
      <c r="AD25" s="198">
        <v>58652</v>
      </c>
      <c r="AE25" s="198">
        <v>434</v>
      </c>
      <c r="AF25" s="197">
        <v>12559</v>
      </c>
      <c r="AG25" s="197">
        <v>166</v>
      </c>
      <c r="AH25" s="29"/>
    </row>
    <row r="26" spans="1:34" ht="15.75" customHeight="1" hidden="1">
      <c r="A26" s="233" t="s">
        <v>187</v>
      </c>
      <c r="B26" s="264">
        <f t="shared" si="4"/>
        <v>9232660</v>
      </c>
      <c r="C26" s="264">
        <f t="shared" si="5"/>
        <v>99798</v>
      </c>
      <c r="D26" s="264">
        <f t="shared" si="6"/>
        <v>9028547</v>
      </c>
      <c r="E26" s="264">
        <f t="shared" si="6"/>
        <v>98799</v>
      </c>
      <c r="F26" s="197">
        <v>76291</v>
      </c>
      <c r="G26" s="197">
        <v>68</v>
      </c>
      <c r="H26" s="197">
        <v>8565482</v>
      </c>
      <c r="I26" s="197">
        <v>88348</v>
      </c>
      <c r="J26" s="197">
        <v>38473</v>
      </c>
      <c r="K26" s="197">
        <v>580</v>
      </c>
      <c r="L26" s="197">
        <v>71</v>
      </c>
      <c r="M26" s="197">
        <v>6</v>
      </c>
      <c r="N26" s="197">
        <v>207881</v>
      </c>
      <c r="O26" s="197">
        <v>5761</v>
      </c>
      <c r="P26" s="197">
        <v>9970</v>
      </c>
      <c r="Q26" s="197">
        <v>8</v>
      </c>
      <c r="R26" s="197">
        <v>34873</v>
      </c>
      <c r="S26" s="197">
        <v>65</v>
      </c>
      <c r="T26" s="197">
        <v>95506</v>
      </c>
      <c r="U26" s="197">
        <v>3963</v>
      </c>
      <c r="V26" s="197">
        <f t="shared" si="7"/>
        <v>109757</v>
      </c>
      <c r="W26" s="197">
        <f t="shared" si="7"/>
        <v>228</v>
      </c>
      <c r="X26" s="197">
        <v>97438</v>
      </c>
      <c r="Y26" s="197">
        <v>119</v>
      </c>
      <c r="Z26" s="197">
        <v>12319</v>
      </c>
      <c r="AA26" s="197">
        <v>109</v>
      </c>
      <c r="AB26" s="197">
        <f t="shared" si="8"/>
        <v>94356</v>
      </c>
      <c r="AC26" s="197">
        <f t="shared" si="8"/>
        <v>771</v>
      </c>
      <c r="AD26" s="198">
        <v>81154</v>
      </c>
      <c r="AE26" s="198">
        <v>589</v>
      </c>
      <c r="AF26" s="197">
        <v>13202</v>
      </c>
      <c r="AG26" s="197">
        <v>182</v>
      </c>
      <c r="AH26" s="29"/>
    </row>
    <row r="27" spans="1:34" ht="15.75" customHeight="1" hidden="1">
      <c r="A27" s="233" t="s">
        <v>188</v>
      </c>
      <c r="B27" s="264">
        <f t="shared" si="4"/>
        <v>9328121</v>
      </c>
      <c r="C27" s="264">
        <f t="shared" si="5"/>
        <v>100486</v>
      </c>
      <c r="D27" s="264">
        <f t="shared" si="6"/>
        <v>9066871</v>
      </c>
      <c r="E27" s="264">
        <f t="shared" si="6"/>
        <v>99247</v>
      </c>
      <c r="F27" s="197">
        <v>83569</v>
      </c>
      <c r="G27" s="197">
        <v>74</v>
      </c>
      <c r="H27" s="197">
        <v>8575327</v>
      </c>
      <c r="I27" s="197">
        <v>88720</v>
      </c>
      <c r="J27" s="197">
        <v>41257</v>
      </c>
      <c r="K27" s="197">
        <v>610</v>
      </c>
      <c r="L27" s="197">
        <v>71</v>
      </c>
      <c r="M27" s="197">
        <v>6</v>
      </c>
      <c r="N27" s="197">
        <v>209231</v>
      </c>
      <c r="O27" s="197">
        <v>5766</v>
      </c>
      <c r="P27" s="197">
        <v>15075</v>
      </c>
      <c r="Q27" s="197">
        <v>13</v>
      </c>
      <c r="R27" s="197">
        <v>46686</v>
      </c>
      <c r="S27" s="197">
        <v>87</v>
      </c>
      <c r="T27" s="197">
        <v>95655</v>
      </c>
      <c r="U27" s="197">
        <v>3971</v>
      </c>
      <c r="V27" s="197">
        <f t="shared" si="7"/>
        <v>135088</v>
      </c>
      <c r="W27" s="197">
        <f t="shared" si="7"/>
        <v>269</v>
      </c>
      <c r="X27" s="197">
        <v>119241</v>
      </c>
      <c r="Y27" s="197">
        <v>142</v>
      </c>
      <c r="Z27" s="197">
        <v>15847</v>
      </c>
      <c r="AA27" s="197">
        <v>127</v>
      </c>
      <c r="AB27" s="197">
        <f t="shared" si="8"/>
        <v>126162</v>
      </c>
      <c r="AC27" s="197">
        <f t="shared" si="8"/>
        <v>970</v>
      </c>
      <c r="AD27" s="198">
        <v>112748</v>
      </c>
      <c r="AE27" s="198">
        <v>784</v>
      </c>
      <c r="AF27" s="197">
        <v>13414</v>
      </c>
      <c r="AG27" s="197">
        <v>186</v>
      </c>
      <c r="AH27" s="29"/>
    </row>
    <row r="28" spans="1:34" ht="15.75" customHeight="1" hidden="1">
      <c r="A28" s="233" t="s">
        <v>189</v>
      </c>
      <c r="B28" s="264">
        <f t="shared" si="4"/>
        <v>9457062</v>
      </c>
      <c r="C28" s="264">
        <f t="shared" si="5"/>
        <v>102399</v>
      </c>
      <c r="D28" s="264">
        <f t="shared" si="6"/>
        <v>9148896</v>
      </c>
      <c r="E28" s="264">
        <f aca="true" t="shared" si="10" ref="E28:E38">G28+I28+K28+O28+Q28+M28+S28+U28</f>
        <v>100891</v>
      </c>
      <c r="F28" s="197">
        <v>103187</v>
      </c>
      <c r="G28" s="197">
        <v>87</v>
      </c>
      <c r="H28" s="197">
        <v>8605626</v>
      </c>
      <c r="I28" s="197">
        <v>90123</v>
      </c>
      <c r="J28" s="197">
        <v>51127</v>
      </c>
      <c r="K28" s="197">
        <v>785</v>
      </c>
      <c r="L28" s="197">
        <v>71</v>
      </c>
      <c r="M28" s="197">
        <v>6</v>
      </c>
      <c r="N28" s="197">
        <v>217021</v>
      </c>
      <c r="O28" s="197">
        <v>5793</v>
      </c>
      <c r="P28" s="197">
        <v>19249</v>
      </c>
      <c r="Q28" s="197">
        <v>16</v>
      </c>
      <c r="R28" s="197">
        <v>56884</v>
      </c>
      <c r="S28" s="197">
        <v>103</v>
      </c>
      <c r="T28" s="197">
        <v>95731</v>
      </c>
      <c r="U28" s="197">
        <v>3978</v>
      </c>
      <c r="V28" s="197">
        <f aca="true" t="shared" si="11" ref="V28:W30">+X28+Z28</f>
        <v>157431</v>
      </c>
      <c r="W28" s="197">
        <f t="shared" si="11"/>
        <v>320</v>
      </c>
      <c r="X28" s="197">
        <v>138594</v>
      </c>
      <c r="Y28" s="197">
        <v>171</v>
      </c>
      <c r="Z28" s="197">
        <v>18837</v>
      </c>
      <c r="AA28" s="197">
        <v>149</v>
      </c>
      <c r="AB28" s="197">
        <f>AD28+AF28</f>
        <v>150735</v>
      </c>
      <c r="AC28" s="197">
        <f>AE28+AG28</f>
        <v>1188</v>
      </c>
      <c r="AD28" s="198">
        <v>133888</v>
      </c>
      <c r="AE28" s="198">
        <v>950</v>
      </c>
      <c r="AF28" s="197">
        <v>16847</v>
      </c>
      <c r="AG28" s="197">
        <v>238</v>
      </c>
      <c r="AH28" s="29"/>
    </row>
    <row r="29" spans="1:34" ht="15.75" customHeight="1" hidden="1">
      <c r="A29" s="233" t="s">
        <v>192</v>
      </c>
      <c r="B29" s="264">
        <f aca="true" t="shared" si="12" ref="B29:B37">D29++V29+AB29</f>
        <v>19552925</v>
      </c>
      <c r="C29" s="264">
        <f aca="true" t="shared" si="13" ref="C29:C38">E29+W29+AC29</f>
        <v>207747</v>
      </c>
      <c r="D29" s="264">
        <f>F29+H29+J29+N29+P29+L29+R29+T29</f>
        <v>18738033</v>
      </c>
      <c r="E29" s="264">
        <f t="shared" si="10"/>
        <v>202103</v>
      </c>
      <c r="F29" s="197">
        <v>134008</v>
      </c>
      <c r="G29" s="197">
        <v>117</v>
      </c>
      <c r="H29" s="197">
        <v>17825730</v>
      </c>
      <c r="I29" s="197">
        <v>181104</v>
      </c>
      <c r="J29" s="197">
        <v>69489</v>
      </c>
      <c r="K29" s="197">
        <v>1027</v>
      </c>
      <c r="L29" s="197">
        <v>141</v>
      </c>
      <c r="M29" s="197">
        <v>18</v>
      </c>
      <c r="N29" s="197">
        <v>419530</v>
      </c>
      <c r="O29" s="197">
        <v>11531</v>
      </c>
      <c r="P29" s="197">
        <v>20120</v>
      </c>
      <c r="Q29" s="197">
        <v>17</v>
      </c>
      <c r="R29" s="197">
        <v>69080</v>
      </c>
      <c r="S29" s="197">
        <v>125</v>
      </c>
      <c r="T29" s="197">
        <v>199935</v>
      </c>
      <c r="U29" s="197">
        <v>8164</v>
      </c>
      <c r="V29" s="197">
        <f t="shared" si="11"/>
        <v>633076</v>
      </c>
      <c r="W29" s="197">
        <f t="shared" si="11"/>
        <v>4166</v>
      </c>
      <c r="X29" s="197">
        <v>157278</v>
      </c>
      <c r="Y29" s="197">
        <v>196</v>
      </c>
      <c r="Z29" s="197">
        <v>475798</v>
      </c>
      <c r="AA29" s="197">
        <v>3970</v>
      </c>
      <c r="AB29" s="197">
        <f>AD29+AF29</f>
        <v>181816</v>
      </c>
      <c r="AC29" s="197">
        <f>AE29+AG29</f>
        <v>1478</v>
      </c>
      <c r="AD29" s="198">
        <v>155806</v>
      </c>
      <c r="AE29" s="198">
        <v>1114</v>
      </c>
      <c r="AF29" s="197">
        <v>26010</v>
      </c>
      <c r="AG29" s="197">
        <v>364</v>
      </c>
      <c r="AH29" s="29"/>
    </row>
    <row r="30" spans="1:34" ht="15.75" customHeight="1" hidden="1">
      <c r="A30" s="233" t="s">
        <v>196</v>
      </c>
      <c r="B30" s="264">
        <f t="shared" si="12"/>
        <v>19781415</v>
      </c>
      <c r="C30" s="264">
        <f t="shared" si="13"/>
        <v>209196</v>
      </c>
      <c r="D30" s="264">
        <f>F30+H30+J30+N30+P30+L30+R30+T30</f>
        <v>18898025</v>
      </c>
      <c r="E30" s="264">
        <f t="shared" si="10"/>
        <v>203258</v>
      </c>
      <c r="F30" s="197">
        <v>149602</v>
      </c>
      <c r="G30" s="197">
        <v>129</v>
      </c>
      <c r="H30" s="197">
        <v>17935191</v>
      </c>
      <c r="I30" s="197">
        <v>182022</v>
      </c>
      <c r="J30" s="197">
        <v>78064</v>
      </c>
      <c r="K30" s="197">
        <v>1166</v>
      </c>
      <c r="L30" s="197">
        <v>176</v>
      </c>
      <c r="M30" s="197">
        <v>21</v>
      </c>
      <c r="N30" s="197">
        <v>423733</v>
      </c>
      <c r="O30" s="197">
        <v>11546</v>
      </c>
      <c r="P30" s="197">
        <v>25702</v>
      </c>
      <c r="Q30" s="197">
        <v>20</v>
      </c>
      <c r="R30" s="197">
        <v>84761</v>
      </c>
      <c r="S30" s="197">
        <v>147</v>
      </c>
      <c r="T30" s="197">
        <v>200796</v>
      </c>
      <c r="U30" s="197">
        <v>8207</v>
      </c>
      <c r="V30" s="197">
        <f t="shared" si="11"/>
        <v>666619</v>
      </c>
      <c r="W30" s="197">
        <f t="shared" si="11"/>
        <v>4240</v>
      </c>
      <c r="X30" s="197">
        <v>186714</v>
      </c>
      <c r="Y30" s="197">
        <v>230</v>
      </c>
      <c r="Z30" s="197">
        <v>479905</v>
      </c>
      <c r="AA30" s="197">
        <v>4010</v>
      </c>
      <c r="AB30" s="197">
        <f aca="true" t="shared" si="14" ref="AB30:AC38">AD30+AF30</f>
        <v>216771</v>
      </c>
      <c r="AC30" s="197">
        <f t="shared" si="14"/>
        <v>1698</v>
      </c>
      <c r="AD30" s="198">
        <v>189462</v>
      </c>
      <c r="AE30" s="198">
        <v>1304</v>
      </c>
      <c r="AF30" s="197">
        <v>27309</v>
      </c>
      <c r="AG30" s="197">
        <v>394</v>
      </c>
      <c r="AH30" s="29"/>
    </row>
    <row r="31" spans="1:34" s="27" customFormat="1" ht="15.75" customHeight="1" hidden="1">
      <c r="A31" s="233" t="s">
        <v>199</v>
      </c>
      <c r="B31" s="264">
        <f t="shared" si="12"/>
        <v>19922387</v>
      </c>
      <c r="C31" s="264">
        <f t="shared" si="13"/>
        <v>210146</v>
      </c>
      <c r="D31" s="264">
        <f>F31+H31+J31+N31+P31+L31+R31+T31</f>
        <v>18992586</v>
      </c>
      <c r="E31" s="264">
        <f t="shared" si="10"/>
        <v>203951</v>
      </c>
      <c r="F31" s="197">
        <v>166918</v>
      </c>
      <c r="G31" s="197">
        <v>139</v>
      </c>
      <c r="H31" s="197">
        <v>17986843</v>
      </c>
      <c r="I31" s="197">
        <v>182568</v>
      </c>
      <c r="J31" s="197">
        <v>83666</v>
      </c>
      <c r="K31" s="197">
        <v>1254</v>
      </c>
      <c r="L31" s="197">
        <v>176</v>
      </c>
      <c r="M31" s="197">
        <v>21</v>
      </c>
      <c r="N31" s="326">
        <f>427726-1</f>
        <v>427725</v>
      </c>
      <c r="O31" s="197">
        <v>11557</v>
      </c>
      <c r="P31" s="197">
        <v>31451</v>
      </c>
      <c r="Q31" s="197">
        <v>25</v>
      </c>
      <c r="R31" s="197">
        <v>94748</v>
      </c>
      <c r="S31" s="197">
        <v>162</v>
      </c>
      <c r="T31" s="197">
        <v>201059</v>
      </c>
      <c r="U31" s="197">
        <v>8225</v>
      </c>
      <c r="V31" s="197">
        <f aca="true" t="shared" si="15" ref="V31:W38">+X31+Z31</f>
        <v>682677</v>
      </c>
      <c r="W31" s="197">
        <f t="shared" si="15"/>
        <v>4283</v>
      </c>
      <c r="X31" s="197">
        <v>200400</v>
      </c>
      <c r="Y31" s="197">
        <v>248</v>
      </c>
      <c r="Z31" s="197">
        <v>482277</v>
      </c>
      <c r="AA31" s="197">
        <v>4035</v>
      </c>
      <c r="AB31" s="197">
        <f t="shared" si="14"/>
        <v>247124</v>
      </c>
      <c r="AC31" s="197">
        <f t="shared" si="14"/>
        <v>1912</v>
      </c>
      <c r="AD31" s="198">
        <v>218640</v>
      </c>
      <c r="AE31" s="198">
        <v>1504</v>
      </c>
      <c r="AF31" s="197">
        <f>28484</f>
        <v>28484</v>
      </c>
      <c r="AG31" s="197">
        <v>408</v>
      </c>
      <c r="AH31" s="29"/>
    </row>
    <row r="32" spans="1:34" s="27" customFormat="1" ht="15.75" customHeight="1" hidden="1">
      <c r="A32" s="233" t="s">
        <v>201</v>
      </c>
      <c r="B32" s="264">
        <f t="shared" si="12"/>
        <v>20027550</v>
      </c>
      <c r="C32" s="264">
        <f t="shared" si="13"/>
        <v>210903</v>
      </c>
      <c r="D32" s="264">
        <f>F32+H32+J32+N32+P32+L32+R32+T32</f>
        <v>19042345</v>
      </c>
      <c r="E32" s="264">
        <f t="shared" si="10"/>
        <v>204434</v>
      </c>
      <c r="F32" s="197">
        <v>174972</v>
      </c>
      <c r="G32" s="197">
        <v>151</v>
      </c>
      <c r="H32" s="197">
        <v>18013793</v>
      </c>
      <c r="I32" s="197">
        <v>182947</v>
      </c>
      <c r="J32" s="197">
        <v>87609</v>
      </c>
      <c r="K32" s="197">
        <v>1314</v>
      </c>
      <c r="L32" s="197">
        <v>176</v>
      </c>
      <c r="M32" s="197">
        <v>21</v>
      </c>
      <c r="N32" s="326">
        <v>427481</v>
      </c>
      <c r="O32" s="197">
        <v>11560</v>
      </c>
      <c r="P32" s="197">
        <v>32633</v>
      </c>
      <c r="Q32" s="197">
        <v>26</v>
      </c>
      <c r="R32" s="197">
        <v>104402</v>
      </c>
      <c r="S32" s="197">
        <v>181</v>
      </c>
      <c r="T32" s="197">
        <v>201279</v>
      </c>
      <c r="U32" s="197">
        <v>8234</v>
      </c>
      <c r="V32" s="197">
        <f t="shared" si="15"/>
        <v>710624</v>
      </c>
      <c r="W32" s="197">
        <f t="shared" si="15"/>
        <v>4355</v>
      </c>
      <c r="X32" s="197">
        <v>225509</v>
      </c>
      <c r="Y32" s="197">
        <v>282</v>
      </c>
      <c r="Z32" s="197">
        <v>485115</v>
      </c>
      <c r="AA32" s="197">
        <v>4073</v>
      </c>
      <c r="AB32" s="197">
        <f t="shared" si="14"/>
        <v>274581</v>
      </c>
      <c r="AC32" s="197">
        <f t="shared" si="14"/>
        <v>2114</v>
      </c>
      <c r="AD32" s="198">
        <v>244820</v>
      </c>
      <c r="AE32" s="198">
        <v>1682</v>
      </c>
      <c r="AF32" s="197">
        <v>29761</v>
      </c>
      <c r="AG32" s="197">
        <v>432</v>
      </c>
      <c r="AH32" s="29"/>
    </row>
    <row r="33" spans="1:34" s="27" customFormat="1" ht="15.75" customHeight="1" hidden="1">
      <c r="A33" s="233" t="s">
        <v>203</v>
      </c>
      <c r="B33" s="264">
        <f t="shared" si="12"/>
        <v>20105985</v>
      </c>
      <c r="C33" s="264">
        <f t="shared" si="13"/>
        <v>211356</v>
      </c>
      <c r="D33" s="264">
        <f>F33+H33+J33+N33+P33+L33+R33+T33-1</f>
        <v>19070651</v>
      </c>
      <c r="E33" s="264">
        <f t="shared" si="10"/>
        <v>204651</v>
      </c>
      <c r="F33" s="197">
        <v>178701</v>
      </c>
      <c r="G33" s="197">
        <v>154</v>
      </c>
      <c r="H33" s="197">
        <v>18019230</v>
      </c>
      <c r="I33" s="197">
        <v>183097</v>
      </c>
      <c r="J33" s="197">
        <v>89731</v>
      </c>
      <c r="K33" s="197">
        <v>1340</v>
      </c>
      <c r="L33" s="197">
        <v>176</v>
      </c>
      <c r="M33" s="197">
        <v>21</v>
      </c>
      <c r="N33" s="326">
        <v>431124</v>
      </c>
      <c r="O33" s="197">
        <v>11568</v>
      </c>
      <c r="P33" s="197">
        <v>36366</v>
      </c>
      <c r="Q33" s="197">
        <v>28</v>
      </c>
      <c r="R33" s="197">
        <v>113884</v>
      </c>
      <c r="S33" s="197">
        <v>200</v>
      </c>
      <c r="T33" s="197">
        <v>201440</v>
      </c>
      <c r="U33" s="197">
        <v>8243</v>
      </c>
      <c r="V33" s="197">
        <f t="shared" si="15"/>
        <v>731507</v>
      </c>
      <c r="W33" s="197">
        <f t="shared" si="15"/>
        <v>4402</v>
      </c>
      <c r="X33" s="197">
        <v>244995</v>
      </c>
      <c r="Y33" s="197">
        <v>305</v>
      </c>
      <c r="Z33" s="197">
        <v>486512</v>
      </c>
      <c r="AA33" s="197">
        <v>4097</v>
      </c>
      <c r="AB33" s="197">
        <f t="shared" si="14"/>
        <v>303827</v>
      </c>
      <c r="AC33" s="197">
        <f t="shared" si="14"/>
        <v>2303</v>
      </c>
      <c r="AD33" s="198">
        <v>273761</v>
      </c>
      <c r="AE33" s="198">
        <v>1867</v>
      </c>
      <c r="AF33" s="197">
        <v>30066</v>
      </c>
      <c r="AG33" s="197">
        <v>436</v>
      </c>
      <c r="AH33" s="29"/>
    </row>
    <row r="34" spans="1:34" s="27" customFormat="1" ht="15.75" customHeight="1" hidden="1">
      <c r="A34" s="233" t="s">
        <v>204</v>
      </c>
      <c r="B34" s="264">
        <f t="shared" si="12"/>
        <v>20225256</v>
      </c>
      <c r="C34" s="264">
        <f t="shared" si="13"/>
        <v>213336</v>
      </c>
      <c r="D34" s="264">
        <f>F34+H34+J34+N34+P34+L34+R34+T34</f>
        <v>19136400</v>
      </c>
      <c r="E34" s="264">
        <f t="shared" si="10"/>
        <v>206353</v>
      </c>
      <c r="F34" s="197">
        <v>194532</v>
      </c>
      <c r="G34" s="197">
        <v>164</v>
      </c>
      <c r="H34" s="197">
        <v>18045130</v>
      </c>
      <c r="I34" s="197">
        <v>184591</v>
      </c>
      <c r="J34" s="197">
        <v>98951</v>
      </c>
      <c r="K34" s="197">
        <v>1491</v>
      </c>
      <c r="L34" s="197">
        <v>176</v>
      </c>
      <c r="M34" s="197">
        <v>21</v>
      </c>
      <c r="N34" s="326">
        <v>440270</v>
      </c>
      <c r="O34" s="197">
        <v>11586</v>
      </c>
      <c r="P34" s="197">
        <v>37783</v>
      </c>
      <c r="Q34" s="197">
        <v>29</v>
      </c>
      <c r="R34" s="197">
        <v>118195</v>
      </c>
      <c r="S34" s="197">
        <v>215</v>
      </c>
      <c r="T34" s="197">
        <v>201363</v>
      </c>
      <c r="U34" s="197">
        <v>8256</v>
      </c>
      <c r="V34" s="197">
        <f t="shared" si="15"/>
        <v>751899</v>
      </c>
      <c r="W34" s="197">
        <f t="shared" si="15"/>
        <v>4451</v>
      </c>
      <c r="X34" s="197">
        <v>263980</v>
      </c>
      <c r="Y34" s="197">
        <v>329</v>
      </c>
      <c r="Z34" s="197">
        <v>487919</v>
      </c>
      <c r="AA34" s="197">
        <v>4122</v>
      </c>
      <c r="AB34" s="197">
        <f t="shared" si="14"/>
        <v>336957</v>
      </c>
      <c r="AC34" s="197">
        <f t="shared" si="14"/>
        <v>2532</v>
      </c>
      <c r="AD34" s="198">
        <v>304759</v>
      </c>
      <c r="AE34" s="198">
        <v>2060</v>
      </c>
      <c r="AF34" s="197">
        <v>32198</v>
      </c>
      <c r="AG34" s="197">
        <v>472</v>
      </c>
      <c r="AH34" s="29"/>
    </row>
    <row r="35" spans="1:34" s="27" customFormat="1" ht="15.75" customHeight="1">
      <c r="A35" s="273" t="s">
        <v>206</v>
      </c>
      <c r="B35" s="275">
        <f>B47</f>
        <v>23573134</v>
      </c>
      <c r="C35" s="275">
        <f aca="true" t="shared" si="16" ref="C35:AG35">C47</f>
        <v>231912</v>
      </c>
      <c r="D35" s="275">
        <f t="shared" si="16"/>
        <v>22435551</v>
      </c>
      <c r="E35" s="275">
        <f t="shared" si="16"/>
        <v>225087</v>
      </c>
      <c r="F35" s="275">
        <f t="shared" si="16"/>
        <v>453701</v>
      </c>
      <c r="G35" s="275">
        <f t="shared" si="16"/>
        <v>294</v>
      </c>
      <c r="H35" s="275">
        <f t="shared" si="16"/>
        <v>21066695</v>
      </c>
      <c r="I35" s="275">
        <f t="shared" si="16"/>
        <v>202040</v>
      </c>
      <c r="J35" s="275">
        <f t="shared" si="16"/>
        <v>92248</v>
      </c>
      <c r="K35" s="275">
        <f t="shared" si="16"/>
        <v>1374</v>
      </c>
      <c r="L35" s="275">
        <f t="shared" si="16"/>
        <v>173</v>
      </c>
      <c r="M35" s="275">
        <f t="shared" si="16"/>
        <v>14</v>
      </c>
      <c r="N35" s="275">
        <f t="shared" si="16"/>
        <v>452749</v>
      </c>
      <c r="O35" s="275">
        <f t="shared" si="16"/>
        <v>11521</v>
      </c>
      <c r="P35" s="275">
        <f t="shared" si="16"/>
        <v>41891</v>
      </c>
      <c r="Q35" s="275">
        <f t="shared" si="16"/>
        <v>35</v>
      </c>
      <c r="R35" s="275">
        <f t="shared" si="16"/>
        <v>86023</v>
      </c>
      <c r="S35" s="275">
        <f t="shared" si="16"/>
        <v>265</v>
      </c>
      <c r="T35" s="275">
        <f t="shared" si="16"/>
        <v>242071</v>
      </c>
      <c r="U35" s="275">
        <f t="shared" si="16"/>
        <v>9544</v>
      </c>
      <c r="V35" s="275">
        <f t="shared" si="16"/>
        <v>785564</v>
      </c>
      <c r="W35" s="275">
        <f t="shared" si="16"/>
        <v>4401</v>
      </c>
      <c r="X35" s="275">
        <f t="shared" si="16"/>
        <v>266583</v>
      </c>
      <c r="Y35" s="275">
        <f t="shared" si="16"/>
        <v>335</v>
      </c>
      <c r="Z35" s="275">
        <f t="shared" si="16"/>
        <v>518981</v>
      </c>
      <c r="AA35" s="275">
        <f t="shared" si="16"/>
        <v>4066</v>
      </c>
      <c r="AB35" s="275">
        <f t="shared" si="16"/>
        <v>352019</v>
      </c>
      <c r="AC35" s="275">
        <f t="shared" si="16"/>
        <v>2424</v>
      </c>
      <c r="AD35" s="275">
        <f t="shared" si="16"/>
        <v>311212</v>
      </c>
      <c r="AE35" s="275">
        <f t="shared" si="16"/>
        <v>1869</v>
      </c>
      <c r="AF35" s="275">
        <f t="shared" si="16"/>
        <v>40807</v>
      </c>
      <c r="AG35" s="275">
        <f t="shared" si="16"/>
        <v>555</v>
      </c>
      <c r="AH35" s="29"/>
    </row>
    <row r="36" spans="1:34" s="27" customFormat="1" ht="15.75" customHeight="1" hidden="1">
      <c r="A36" s="233" t="s">
        <v>205</v>
      </c>
      <c r="B36" s="264">
        <f t="shared" si="12"/>
        <v>10270688</v>
      </c>
      <c r="C36" s="264">
        <f t="shared" si="13"/>
        <v>105220</v>
      </c>
      <c r="D36" s="264">
        <f aca="true" t="shared" si="17" ref="D36:D41">F36+H36+J36+N36+P36+L36+R36+T36</f>
        <v>10211056</v>
      </c>
      <c r="E36" s="264">
        <f t="shared" si="10"/>
        <v>104916</v>
      </c>
      <c r="F36" s="197">
        <v>38199</v>
      </c>
      <c r="G36" s="197">
        <v>32</v>
      </c>
      <c r="H36" s="197">
        <v>9839254</v>
      </c>
      <c r="I36" s="197">
        <v>94558</v>
      </c>
      <c r="J36" s="197">
        <v>6346</v>
      </c>
      <c r="K36" s="197">
        <v>79</v>
      </c>
      <c r="L36" s="197">
        <v>87</v>
      </c>
      <c r="M36" s="197">
        <v>7</v>
      </c>
      <c r="N36" s="326">
        <v>192293</v>
      </c>
      <c r="O36" s="197">
        <v>5691</v>
      </c>
      <c r="P36" s="197">
        <v>7091</v>
      </c>
      <c r="Q36" s="197">
        <v>5</v>
      </c>
      <c r="R36" s="197">
        <v>13544</v>
      </c>
      <c r="S36" s="197">
        <v>35</v>
      </c>
      <c r="T36" s="197">
        <v>114242</v>
      </c>
      <c r="U36" s="197">
        <v>4509</v>
      </c>
      <c r="V36" s="197">
        <f t="shared" si="15"/>
        <v>27822</v>
      </c>
      <c r="W36" s="197">
        <f t="shared" si="15"/>
        <v>62</v>
      </c>
      <c r="X36" s="197">
        <v>25647</v>
      </c>
      <c r="Y36" s="197">
        <v>31</v>
      </c>
      <c r="Z36" s="197">
        <v>2175</v>
      </c>
      <c r="AA36" s="197">
        <v>31</v>
      </c>
      <c r="AB36" s="197">
        <f t="shared" si="14"/>
        <v>31810</v>
      </c>
      <c r="AC36" s="197">
        <f t="shared" si="14"/>
        <v>242</v>
      </c>
      <c r="AD36" s="198">
        <v>22230</v>
      </c>
      <c r="AE36" s="198">
        <v>142</v>
      </c>
      <c r="AF36" s="197">
        <v>9580</v>
      </c>
      <c r="AG36" s="197">
        <v>100</v>
      </c>
      <c r="AH36" s="29"/>
    </row>
    <row r="37" spans="1:34" s="27" customFormat="1" ht="15.75" customHeight="1" hidden="1">
      <c r="A37" s="233" t="s">
        <v>208</v>
      </c>
      <c r="B37" s="264">
        <f t="shared" si="12"/>
        <v>10353144</v>
      </c>
      <c r="C37" s="264">
        <f t="shared" si="13"/>
        <v>105749</v>
      </c>
      <c r="D37" s="264">
        <f t="shared" si="17"/>
        <v>10276258</v>
      </c>
      <c r="E37" s="264">
        <f t="shared" si="10"/>
        <v>105350</v>
      </c>
      <c r="F37" s="197">
        <v>55540</v>
      </c>
      <c r="G37" s="197">
        <v>41</v>
      </c>
      <c r="H37" s="197">
        <v>9873000</v>
      </c>
      <c r="I37" s="197">
        <v>94868</v>
      </c>
      <c r="J37" s="197">
        <v>8840</v>
      </c>
      <c r="K37" s="197">
        <v>119</v>
      </c>
      <c r="L37" s="197">
        <v>87</v>
      </c>
      <c r="M37" s="197">
        <v>7</v>
      </c>
      <c r="N37" s="326">
        <v>195928</v>
      </c>
      <c r="O37" s="197">
        <v>5708</v>
      </c>
      <c r="P37" s="197">
        <v>10620</v>
      </c>
      <c r="Q37" s="197">
        <v>7</v>
      </c>
      <c r="R37" s="197">
        <v>17370</v>
      </c>
      <c r="S37" s="197">
        <v>48</v>
      </c>
      <c r="T37" s="197">
        <v>114873</v>
      </c>
      <c r="U37" s="197">
        <v>4552</v>
      </c>
      <c r="V37" s="197">
        <f t="shared" si="15"/>
        <v>34093</v>
      </c>
      <c r="W37" s="197">
        <f t="shared" si="15"/>
        <v>73</v>
      </c>
      <c r="X37" s="197">
        <v>31232</v>
      </c>
      <c r="Y37" s="197">
        <v>38</v>
      </c>
      <c r="Z37" s="197">
        <v>2861</v>
      </c>
      <c r="AA37" s="197">
        <v>35</v>
      </c>
      <c r="AB37" s="197">
        <f t="shared" si="14"/>
        <v>42793</v>
      </c>
      <c r="AC37" s="197">
        <f t="shared" si="14"/>
        <v>326</v>
      </c>
      <c r="AD37" s="198">
        <v>32104</v>
      </c>
      <c r="AE37" s="198">
        <v>218</v>
      </c>
      <c r="AF37" s="197">
        <v>10689</v>
      </c>
      <c r="AG37" s="197">
        <v>108</v>
      </c>
      <c r="AH37" s="29"/>
    </row>
    <row r="38" spans="1:34" s="27" customFormat="1" ht="15.75" customHeight="1" hidden="1">
      <c r="A38" s="233" t="s">
        <v>209</v>
      </c>
      <c r="B38" s="264">
        <f aca="true" t="shared" si="18" ref="B38:B43">D38++V38+AB38</f>
        <v>10648772</v>
      </c>
      <c r="C38" s="264">
        <f t="shared" si="13"/>
        <v>108224</v>
      </c>
      <c r="D38" s="264">
        <f t="shared" si="17"/>
        <v>10538959</v>
      </c>
      <c r="E38" s="264">
        <f t="shared" si="10"/>
        <v>107637</v>
      </c>
      <c r="F38" s="197">
        <f>90959-1</f>
        <v>90958</v>
      </c>
      <c r="G38" s="197">
        <v>66</v>
      </c>
      <c r="H38" s="197">
        <f>10059258-1</f>
        <v>10059257</v>
      </c>
      <c r="I38" s="197">
        <v>96753</v>
      </c>
      <c r="J38" s="197">
        <v>28852</v>
      </c>
      <c r="K38" s="197">
        <v>428</v>
      </c>
      <c r="L38" s="197">
        <v>87</v>
      </c>
      <c r="M38" s="197">
        <v>7</v>
      </c>
      <c r="N38" s="326">
        <v>204475</v>
      </c>
      <c r="O38" s="197">
        <v>5731</v>
      </c>
      <c r="P38" s="197">
        <v>15791</v>
      </c>
      <c r="Q38" s="197">
        <v>10</v>
      </c>
      <c r="R38" s="197">
        <v>24254</v>
      </c>
      <c r="S38" s="197">
        <v>61</v>
      </c>
      <c r="T38" s="197">
        <v>115285</v>
      </c>
      <c r="U38" s="197">
        <v>4581</v>
      </c>
      <c r="V38" s="197">
        <f t="shared" si="15"/>
        <v>47492</v>
      </c>
      <c r="W38" s="197">
        <f t="shared" si="15"/>
        <v>102</v>
      </c>
      <c r="X38" s="197">
        <v>43090</v>
      </c>
      <c r="Y38" s="197">
        <v>53</v>
      </c>
      <c r="Z38" s="197">
        <v>4402</v>
      </c>
      <c r="AA38" s="197">
        <v>49</v>
      </c>
      <c r="AB38" s="197">
        <f t="shared" si="14"/>
        <v>62321</v>
      </c>
      <c r="AC38" s="197">
        <f t="shared" si="14"/>
        <v>485</v>
      </c>
      <c r="AD38" s="198">
        <v>49095</v>
      </c>
      <c r="AE38" s="198">
        <v>342</v>
      </c>
      <c r="AF38" s="197">
        <v>13226</v>
      </c>
      <c r="AG38" s="197">
        <v>143</v>
      </c>
      <c r="AH38" s="29"/>
    </row>
    <row r="39" spans="1:34" s="27" customFormat="1" ht="15.75" customHeight="1" hidden="1">
      <c r="A39" s="233" t="s">
        <v>212</v>
      </c>
      <c r="B39" s="264">
        <f t="shared" si="18"/>
        <v>10818907</v>
      </c>
      <c r="C39" s="264">
        <f aca="true" t="shared" si="19" ref="C39:C44">E39+W39+AC39</f>
        <v>109154</v>
      </c>
      <c r="D39" s="264">
        <f t="shared" si="17"/>
        <v>10646106</v>
      </c>
      <c r="E39" s="264">
        <f aca="true" t="shared" si="20" ref="E39:E44">G39+I39+K39+O39+Q39+M39+S39+U39</f>
        <v>108314</v>
      </c>
      <c r="F39" s="197">
        <v>142740</v>
      </c>
      <c r="G39" s="197">
        <v>97</v>
      </c>
      <c r="H39" s="197">
        <v>10092374</v>
      </c>
      <c r="I39" s="197">
        <v>97260</v>
      </c>
      <c r="J39" s="197">
        <v>33047</v>
      </c>
      <c r="K39" s="197">
        <v>503</v>
      </c>
      <c r="L39" s="197">
        <v>87</v>
      </c>
      <c r="M39" s="197">
        <v>7</v>
      </c>
      <c r="N39" s="326">
        <v>211969</v>
      </c>
      <c r="O39" s="197">
        <v>5745</v>
      </c>
      <c r="P39" s="197">
        <v>17721</v>
      </c>
      <c r="Q39" s="197">
        <v>11</v>
      </c>
      <c r="R39" s="197">
        <v>32245</v>
      </c>
      <c r="S39" s="197">
        <v>88</v>
      </c>
      <c r="T39" s="197">
        <v>115923</v>
      </c>
      <c r="U39" s="197">
        <v>4603</v>
      </c>
      <c r="V39" s="198">
        <f aca="true" t="shared" si="21" ref="V39:W41">+X39+Z39</f>
        <v>87577</v>
      </c>
      <c r="W39" s="197">
        <f t="shared" si="21"/>
        <v>177</v>
      </c>
      <c r="X39" s="197">
        <v>77704</v>
      </c>
      <c r="Y39" s="197">
        <v>93</v>
      </c>
      <c r="Z39" s="197">
        <v>9873</v>
      </c>
      <c r="AA39" s="197">
        <v>84</v>
      </c>
      <c r="AB39" s="197">
        <f>AD39+AF39</f>
        <v>85224</v>
      </c>
      <c r="AC39" s="197">
        <f>AE39+AG39</f>
        <v>663</v>
      </c>
      <c r="AD39" s="198">
        <v>71165</v>
      </c>
      <c r="AE39" s="198">
        <v>508</v>
      </c>
      <c r="AF39" s="197">
        <v>14059</v>
      </c>
      <c r="AG39" s="197">
        <v>155</v>
      </c>
      <c r="AH39" s="29"/>
    </row>
    <row r="40" spans="1:34" s="27" customFormat="1" ht="15.75" customHeight="1" hidden="1">
      <c r="A40" s="233" t="s">
        <v>213</v>
      </c>
      <c r="B40" s="264">
        <f t="shared" si="18"/>
        <v>10914522</v>
      </c>
      <c r="C40" s="264">
        <f t="shared" si="19"/>
        <v>109649</v>
      </c>
      <c r="D40" s="264">
        <f t="shared" si="17"/>
        <v>10667561</v>
      </c>
      <c r="E40" s="264">
        <f t="shared" si="20"/>
        <v>108518</v>
      </c>
      <c r="F40" s="198">
        <f>148943-1</f>
        <v>148942</v>
      </c>
      <c r="G40" s="197">
        <v>102</v>
      </c>
      <c r="H40" s="197">
        <v>10097679</v>
      </c>
      <c r="I40" s="197">
        <v>97394</v>
      </c>
      <c r="J40" s="197">
        <v>34894</v>
      </c>
      <c r="K40" s="197">
        <v>528</v>
      </c>
      <c r="L40" s="197">
        <v>87</v>
      </c>
      <c r="M40" s="197">
        <v>7</v>
      </c>
      <c r="N40" s="326">
        <f>212719-1</f>
        <v>212718</v>
      </c>
      <c r="O40" s="197">
        <v>5750</v>
      </c>
      <c r="P40" s="197">
        <v>18449</v>
      </c>
      <c r="Q40" s="197">
        <v>12</v>
      </c>
      <c r="R40" s="197">
        <v>38843</v>
      </c>
      <c r="S40" s="197">
        <v>113</v>
      </c>
      <c r="T40" s="197">
        <v>115949</v>
      </c>
      <c r="U40" s="197">
        <v>4612</v>
      </c>
      <c r="V40" s="198">
        <f t="shared" si="21"/>
        <v>120461</v>
      </c>
      <c r="W40" s="197">
        <f t="shared" si="21"/>
        <v>237</v>
      </c>
      <c r="X40" s="197">
        <v>106081</v>
      </c>
      <c r="Y40" s="197">
        <v>128</v>
      </c>
      <c r="Z40" s="197">
        <v>14380</v>
      </c>
      <c r="AA40" s="197">
        <v>109</v>
      </c>
      <c r="AB40" s="197">
        <f>AD40+AF40</f>
        <v>126500</v>
      </c>
      <c r="AC40" s="197">
        <f>AE40+AG40</f>
        <v>894</v>
      </c>
      <c r="AD40" s="198">
        <v>112198</v>
      </c>
      <c r="AE40" s="198">
        <v>735</v>
      </c>
      <c r="AF40" s="198">
        <f>14303-1</f>
        <v>14302</v>
      </c>
      <c r="AG40" s="198">
        <v>159</v>
      </c>
      <c r="AH40" s="29"/>
    </row>
    <row r="41" spans="1:34" s="27" customFormat="1" ht="15.75" customHeight="1" hidden="1">
      <c r="A41" s="233" t="s">
        <v>214</v>
      </c>
      <c r="B41" s="264">
        <f t="shared" si="18"/>
        <v>11082608</v>
      </c>
      <c r="C41" s="264">
        <f t="shared" si="19"/>
        <v>111653</v>
      </c>
      <c r="D41" s="264">
        <f t="shared" si="17"/>
        <v>10775120</v>
      </c>
      <c r="E41" s="264">
        <f t="shared" si="20"/>
        <v>110266</v>
      </c>
      <c r="F41" s="197">
        <v>199497</v>
      </c>
      <c r="G41" s="197">
        <v>130</v>
      </c>
      <c r="H41" s="197">
        <v>10132634</v>
      </c>
      <c r="I41" s="197">
        <v>98896</v>
      </c>
      <c r="J41" s="197">
        <v>46401</v>
      </c>
      <c r="K41" s="197">
        <v>707</v>
      </c>
      <c r="L41" s="197">
        <v>87</v>
      </c>
      <c r="M41" s="197">
        <v>7</v>
      </c>
      <c r="N41" s="326">
        <v>216218</v>
      </c>
      <c r="O41" s="197">
        <v>5757</v>
      </c>
      <c r="P41" s="197">
        <v>20151</v>
      </c>
      <c r="Q41" s="197">
        <v>13</v>
      </c>
      <c r="R41" s="197">
        <v>44139</v>
      </c>
      <c r="S41" s="197">
        <v>134</v>
      </c>
      <c r="T41" s="197">
        <v>115993</v>
      </c>
      <c r="U41" s="197">
        <v>4622</v>
      </c>
      <c r="V41" s="198">
        <f t="shared" si="21"/>
        <v>144503</v>
      </c>
      <c r="W41" s="197">
        <f t="shared" si="21"/>
        <v>284</v>
      </c>
      <c r="X41" s="197">
        <f>126818-1</f>
        <v>126817</v>
      </c>
      <c r="Y41" s="197">
        <v>154</v>
      </c>
      <c r="Z41" s="197">
        <v>17686</v>
      </c>
      <c r="AA41" s="197">
        <v>130</v>
      </c>
      <c r="AB41" s="197">
        <f aca="true" t="shared" si="22" ref="AB41:AC43">AD41+AF41</f>
        <v>162985</v>
      </c>
      <c r="AC41" s="197">
        <f t="shared" si="22"/>
        <v>1103</v>
      </c>
      <c r="AD41" s="198">
        <v>146362</v>
      </c>
      <c r="AE41" s="198">
        <v>898</v>
      </c>
      <c r="AF41" s="198">
        <v>16623</v>
      </c>
      <c r="AG41" s="198">
        <v>205</v>
      </c>
      <c r="AH41" s="29"/>
    </row>
    <row r="42" spans="1:34" s="27" customFormat="1" ht="15.75" customHeight="1" hidden="1">
      <c r="A42" s="233" t="s">
        <v>215</v>
      </c>
      <c r="B42" s="264">
        <f t="shared" si="18"/>
        <v>22849603</v>
      </c>
      <c r="C42" s="264">
        <f t="shared" si="19"/>
        <v>226527</v>
      </c>
      <c r="D42" s="264">
        <f aca="true" t="shared" si="23" ref="D42:D47">F42+H42+J42+N42+P42+L42+R42+T42</f>
        <v>21981911</v>
      </c>
      <c r="E42" s="264">
        <f t="shared" si="20"/>
        <v>221020</v>
      </c>
      <c r="F42" s="197">
        <v>296386</v>
      </c>
      <c r="G42" s="197">
        <v>203</v>
      </c>
      <c r="H42" s="197">
        <f>20880414+1</f>
        <v>20880415</v>
      </c>
      <c r="I42" s="197">
        <v>198804</v>
      </c>
      <c r="J42" s="197">
        <v>64568</v>
      </c>
      <c r="K42" s="197">
        <v>935</v>
      </c>
      <c r="L42" s="197">
        <v>173</v>
      </c>
      <c r="M42" s="197">
        <v>14</v>
      </c>
      <c r="N42" s="326">
        <v>421908</v>
      </c>
      <c r="O42" s="197">
        <v>11450</v>
      </c>
      <c r="P42" s="197">
        <v>21326</v>
      </c>
      <c r="Q42" s="197">
        <v>16</v>
      </c>
      <c r="R42" s="197">
        <v>56822</v>
      </c>
      <c r="S42" s="197">
        <v>170</v>
      </c>
      <c r="T42" s="197">
        <f>240312+1</f>
        <v>240313</v>
      </c>
      <c r="U42" s="197">
        <v>9428</v>
      </c>
      <c r="V42" s="198">
        <f aca="true" t="shared" si="24" ref="V42:W44">+X42+Z42</f>
        <v>655443</v>
      </c>
      <c r="W42" s="197">
        <f t="shared" si="24"/>
        <v>4025</v>
      </c>
      <c r="X42" s="197">
        <v>150401</v>
      </c>
      <c r="Y42" s="197">
        <v>179</v>
      </c>
      <c r="Z42" s="197">
        <v>505042</v>
      </c>
      <c r="AA42" s="197">
        <v>3846</v>
      </c>
      <c r="AB42" s="197">
        <f t="shared" si="22"/>
        <v>212249</v>
      </c>
      <c r="AC42" s="197">
        <f t="shared" si="22"/>
        <v>1482</v>
      </c>
      <c r="AD42" s="198">
        <v>181450</v>
      </c>
      <c r="AE42" s="198">
        <v>1095</v>
      </c>
      <c r="AF42" s="198">
        <v>30799</v>
      </c>
      <c r="AG42" s="198">
        <v>387</v>
      </c>
      <c r="AH42" s="29"/>
    </row>
    <row r="43" spans="1:34" s="27" customFormat="1" ht="15.75" customHeight="1" hidden="1">
      <c r="A43" s="233" t="s">
        <v>216</v>
      </c>
      <c r="B43" s="264">
        <f t="shared" si="18"/>
        <v>23063354</v>
      </c>
      <c r="C43" s="264">
        <f t="shared" si="19"/>
        <v>227850</v>
      </c>
      <c r="D43" s="264">
        <f t="shared" si="23"/>
        <v>22137522</v>
      </c>
      <c r="E43" s="264">
        <f t="shared" si="20"/>
        <v>222006</v>
      </c>
      <c r="F43" s="197">
        <f>342430-1</f>
        <v>342429</v>
      </c>
      <c r="G43" s="197">
        <v>227</v>
      </c>
      <c r="H43" s="197">
        <v>20965815</v>
      </c>
      <c r="I43" s="197">
        <v>199538</v>
      </c>
      <c r="J43" s="197">
        <v>72250</v>
      </c>
      <c r="K43" s="197">
        <v>1064</v>
      </c>
      <c r="L43" s="197">
        <v>173</v>
      </c>
      <c r="M43" s="197">
        <v>14</v>
      </c>
      <c r="N43" s="326">
        <v>427330</v>
      </c>
      <c r="O43" s="197">
        <v>11472</v>
      </c>
      <c r="P43" s="197">
        <v>26174</v>
      </c>
      <c r="Q43" s="197">
        <v>20</v>
      </c>
      <c r="R43" s="197">
        <v>62248</v>
      </c>
      <c r="S43" s="197">
        <v>182</v>
      </c>
      <c r="T43" s="197">
        <v>241103</v>
      </c>
      <c r="U43" s="197">
        <v>9489</v>
      </c>
      <c r="V43" s="198">
        <f t="shared" si="24"/>
        <v>684414</v>
      </c>
      <c r="W43" s="197">
        <f t="shared" si="24"/>
        <v>4140</v>
      </c>
      <c r="X43" s="197">
        <v>173718</v>
      </c>
      <c r="Y43" s="197">
        <v>213</v>
      </c>
      <c r="Z43" s="197">
        <v>510696</v>
      </c>
      <c r="AA43" s="197">
        <v>3927</v>
      </c>
      <c r="AB43" s="197">
        <f t="shared" si="22"/>
        <v>241418</v>
      </c>
      <c r="AC43" s="197">
        <f t="shared" si="22"/>
        <v>1704</v>
      </c>
      <c r="AD43" s="198">
        <v>209278</v>
      </c>
      <c r="AE43" s="198">
        <v>1275</v>
      </c>
      <c r="AF43" s="198">
        <v>32140</v>
      </c>
      <c r="AG43" s="198">
        <v>429</v>
      </c>
      <c r="AH43" s="29"/>
    </row>
    <row r="44" spans="1:34" s="27" customFormat="1" ht="15.75" customHeight="1" hidden="1">
      <c r="A44" s="233" t="s">
        <v>217</v>
      </c>
      <c r="B44" s="264">
        <f>D44++V44+AB44</f>
        <v>23230945</v>
      </c>
      <c r="C44" s="264">
        <f t="shared" si="19"/>
        <v>228738</v>
      </c>
      <c r="D44" s="264">
        <f t="shared" si="23"/>
        <v>22248712</v>
      </c>
      <c r="E44" s="264">
        <f t="shared" si="20"/>
        <v>222670</v>
      </c>
      <c r="F44" s="197">
        <v>378282</v>
      </c>
      <c r="G44" s="197">
        <v>245</v>
      </c>
      <c r="H44" s="197">
        <v>21013666</v>
      </c>
      <c r="I44" s="197">
        <v>200034</v>
      </c>
      <c r="J44" s="197">
        <f>77589+1</f>
        <v>77590</v>
      </c>
      <c r="K44" s="197">
        <v>1144</v>
      </c>
      <c r="L44" s="197">
        <v>173</v>
      </c>
      <c r="M44" s="197">
        <v>14</v>
      </c>
      <c r="N44" s="326">
        <v>438570</v>
      </c>
      <c r="O44" s="197">
        <v>11491</v>
      </c>
      <c r="P44" s="197">
        <v>31668</v>
      </c>
      <c r="Q44" s="197">
        <v>24</v>
      </c>
      <c r="R44" s="197">
        <v>67129</v>
      </c>
      <c r="S44" s="197">
        <v>200</v>
      </c>
      <c r="T44" s="197">
        <v>241634</v>
      </c>
      <c r="U44" s="197">
        <v>9518</v>
      </c>
      <c r="V44" s="198">
        <f t="shared" si="24"/>
        <v>712716</v>
      </c>
      <c r="W44" s="197">
        <f t="shared" si="24"/>
        <v>4203</v>
      </c>
      <c r="X44" s="197">
        <v>198834</v>
      </c>
      <c r="Y44" s="197">
        <v>242</v>
      </c>
      <c r="Z44" s="197">
        <v>513882</v>
      </c>
      <c r="AA44" s="197">
        <v>3961</v>
      </c>
      <c r="AB44" s="197">
        <f aca="true" t="shared" si="25" ref="AB44:AC47">AD44+AF44</f>
        <v>269517</v>
      </c>
      <c r="AC44" s="197">
        <f t="shared" si="25"/>
        <v>1865</v>
      </c>
      <c r="AD44" s="198">
        <v>236485</v>
      </c>
      <c r="AE44" s="198">
        <v>1422</v>
      </c>
      <c r="AF44" s="198">
        <v>33032</v>
      </c>
      <c r="AG44" s="198">
        <v>443</v>
      </c>
      <c r="AH44" s="29"/>
    </row>
    <row r="45" spans="1:34" s="27" customFormat="1" ht="15.75" customHeight="1" hidden="1">
      <c r="A45" s="233" t="s">
        <v>218</v>
      </c>
      <c r="B45" s="264">
        <f>D45++V45+AB45</f>
        <v>23333064</v>
      </c>
      <c r="C45" s="264">
        <f>E45+W45+AC45</f>
        <v>229377</v>
      </c>
      <c r="D45" s="264">
        <f t="shared" si="23"/>
        <v>22297742</v>
      </c>
      <c r="E45" s="264">
        <f>G45+I45+K45+O45+Q45+M45+S45+U45</f>
        <v>223068</v>
      </c>
      <c r="F45" s="197">
        <v>388725</v>
      </c>
      <c r="G45" s="197">
        <v>251</v>
      </c>
      <c r="H45" s="197">
        <v>21035309</v>
      </c>
      <c r="I45" s="197">
        <v>200339</v>
      </c>
      <c r="J45" s="197">
        <f>79774-1</f>
        <v>79773</v>
      </c>
      <c r="K45" s="197">
        <v>1186</v>
      </c>
      <c r="L45" s="197">
        <v>173</v>
      </c>
      <c r="M45" s="197">
        <v>14</v>
      </c>
      <c r="N45" s="326">
        <v>443642</v>
      </c>
      <c r="O45" s="197">
        <v>11501</v>
      </c>
      <c r="P45" s="197">
        <v>34617</v>
      </c>
      <c r="Q45" s="197">
        <v>27</v>
      </c>
      <c r="R45" s="197">
        <v>73706</v>
      </c>
      <c r="S45" s="197">
        <v>223</v>
      </c>
      <c r="T45" s="197">
        <v>241797</v>
      </c>
      <c r="U45" s="197">
        <v>9527</v>
      </c>
      <c r="V45" s="198">
        <f aca="true" t="shared" si="26" ref="V45:W47">+X45+Z45</f>
        <v>731709</v>
      </c>
      <c r="W45" s="197">
        <f t="shared" si="26"/>
        <v>4248</v>
      </c>
      <c r="X45" s="197">
        <v>215769</v>
      </c>
      <c r="Y45" s="197">
        <v>262</v>
      </c>
      <c r="Z45" s="197">
        <v>515940</v>
      </c>
      <c r="AA45" s="197">
        <v>3986</v>
      </c>
      <c r="AB45" s="197">
        <f t="shared" si="25"/>
        <v>303613</v>
      </c>
      <c r="AC45" s="197">
        <f t="shared" si="25"/>
        <v>2061</v>
      </c>
      <c r="AD45" s="198">
        <v>269131</v>
      </c>
      <c r="AE45" s="198">
        <v>1598</v>
      </c>
      <c r="AF45" s="198">
        <v>34482</v>
      </c>
      <c r="AG45" s="198">
        <v>463</v>
      </c>
      <c r="AH45" s="29"/>
    </row>
    <row r="46" spans="1:34" s="27" customFormat="1" ht="15.75" customHeight="1" hidden="1">
      <c r="A46" s="233" t="s">
        <v>219</v>
      </c>
      <c r="B46" s="264">
        <f>D46++V46+AB46</f>
        <v>23410052</v>
      </c>
      <c r="C46" s="264">
        <f>E46+W46+AC46</f>
        <v>229764</v>
      </c>
      <c r="D46" s="264">
        <f t="shared" si="23"/>
        <v>22320766</v>
      </c>
      <c r="E46" s="264">
        <f>G46+I46+K46+O46+Q46+M46+S46+U46</f>
        <v>223223</v>
      </c>
      <c r="F46" s="197">
        <v>401292</v>
      </c>
      <c r="G46" s="197">
        <v>258</v>
      </c>
      <c r="H46" s="197">
        <v>21039135</v>
      </c>
      <c r="I46" s="197">
        <v>200438</v>
      </c>
      <c r="J46" s="197">
        <v>80981</v>
      </c>
      <c r="K46" s="197">
        <v>1201</v>
      </c>
      <c r="L46" s="197">
        <v>173</v>
      </c>
      <c r="M46" s="197">
        <v>14</v>
      </c>
      <c r="N46" s="326">
        <v>443642</v>
      </c>
      <c r="O46" s="197">
        <v>11501</v>
      </c>
      <c r="P46" s="197">
        <v>36502</v>
      </c>
      <c r="Q46" s="197">
        <v>28</v>
      </c>
      <c r="R46" s="197">
        <v>76973</v>
      </c>
      <c r="S46" s="197">
        <v>241</v>
      </c>
      <c r="T46" s="197">
        <v>242068</v>
      </c>
      <c r="U46" s="197">
        <v>9542</v>
      </c>
      <c r="V46" s="198">
        <f t="shared" si="26"/>
        <v>764409</v>
      </c>
      <c r="W46" s="197">
        <f t="shared" si="26"/>
        <v>4334</v>
      </c>
      <c r="X46" s="197">
        <v>246234</v>
      </c>
      <c r="Y46" s="197">
        <v>304</v>
      </c>
      <c r="Z46" s="197">
        <v>518175</v>
      </c>
      <c r="AA46" s="197">
        <v>4030</v>
      </c>
      <c r="AB46" s="197">
        <f t="shared" si="25"/>
        <v>324877</v>
      </c>
      <c r="AC46" s="197">
        <f t="shared" si="25"/>
        <v>2207</v>
      </c>
      <c r="AD46" s="198">
        <v>290095</v>
      </c>
      <c r="AE46" s="198">
        <v>1740</v>
      </c>
      <c r="AF46" s="198">
        <v>34782</v>
      </c>
      <c r="AG46" s="198">
        <v>467</v>
      </c>
      <c r="AH46" s="29"/>
    </row>
    <row r="47" spans="1:34" s="27" customFormat="1" ht="15.75" customHeight="1" hidden="1">
      <c r="A47" s="233" t="s">
        <v>220</v>
      </c>
      <c r="B47" s="264">
        <f>D47++V47+AB47</f>
        <v>23573134</v>
      </c>
      <c r="C47" s="264">
        <f>E47+W47+AC47</f>
        <v>231912</v>
      </c>
      <c r="D47" s="264">
        <f t="shared" si="23"/>
        <v>22435551</v>
      </c>
      <c r="E47" s="264">
        <f>G47+I47+K47+O47+Q47+M47+S47+U47</f>
        <v>225087</v>
      </c>
      <c r="F47" s="197">
        <v>453701</v>
      </c>
      <c r="G47" s="197">
        <v>294</v>
      </c>
      <c r="H47" s="197">
        <v>21066695</v>
      </c>
      <c r="I47" s="197">
        <v>202040</v>
      </c>
      <c r="J47" s="197">
        <v>92248</v>
      </c>
      <c r="K47" s="197">
        <v>1374</v>
      </c>
      <c r="L47" s="197">
        <v>173</v>
      </c>
      <c r="M47" s="197">
        <v>14</v>
      </c>
      <c r="N47" s="326">
        <v>452749</v>
      </c>
      <c r="O47" s="197">
        <v>11521</v>
      </c>
      <c r="P47" s="197">
        <v>41891</v>
      </c>
      <c r="Q47" s="197">
        <v>35</v>
      </c>
      <c r="R47" s="197">
        <v>86023</v>
      </c>
      <c r="S47" s="197">
        <v>265</v>
      </c>
      <c r="T47" s="197">
        <v>242071</v>
      </c>
      <c r="U47" s="197">
        <v>9544</v>
      </c>
      <c r="V47" s="198">
        <f t="shared" si="26"/>
        <v>785564</v>
      </c>
      <c r="W47" s="197">
        <f t="shared" si="26"/>
        <v>4401</v>
      </c>
      <c r="X47" s="197">
        <v>266583</v>
      </c>
      <c r="Y47" s="197">
        <v>335</v>
      </c>
      <c r="Z47" s="197">
        <v>518981</v>
      </c>
      <c r="AA47" s="197">
        <v>4066</v>
      </c>
      <c r="AB47" s="197">
        <f t="shared" si="25"/>
        <v>352019</v>
      </c>
      <c r="AC47" s="197">
        <f t="shared" si="25"/>
        <v>2424</v>
      </c>
      <c r="AD47" s="198">
        <v>311212</v>
      </c>
      <c r="AE47" s="198">
        <v>1869</v>
      </c>
      <c r="AF47" s="198">
        <v>40807</v>
      </c>
      <c r="AG47" s="198">
        <v>555</v>
      </c>
      <c r="AH47" s="29"/>
    </row>
    <row r="48" spans="1:34" s="27" customFormat="1" ht="15.75" customHeight="1">
      <c r="A48" s="273" t="s">
        <v>221</v>
      </c>
      <c r="B48" s="275"/>
      <c r="C48" s="275"/>
      <c r="D48" s="275"/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T48" s="275"/>
      <c r="U48" s="275"/>
      <c r="V48" s="198"/>
      <c r="W48" s="197"/>
      <c r="X48" s="275"/>
      <c r="Y48" s="275"/>
      <c r="Z48" s="275"/>
      <c r="AA48" s="275"/>
      <c r="AB48" s="197"/>
      <c r="AC48" s="197"/>
      <c r="AD48" s="275"/>
      <c r="AE48" s="275"/>
      <c r="AF48" s="275"/>
      <c r="AG48" s="275"/>
      <c r="AH48" s="29"/>
    </row>
    <row r="49" spans="1:34" s="360" customFormat="1" ht="15.75" customHeight="1">
      <c r="A49" s="355" t="s">
        <v>222</v>
      </c>
      <c r="B49" s="356">
        <f aca="true" t="shared" si="27" ref="B49:B60">D49++V49+AB49</f>
        <v>11841380</v>
      </c>
      <c r="C49" s="356">
        <f aca="true" t="shared" si="28" ref="C49:C60">E49+W49+AC49</f>
        <v>114651</v>
      </c>
      <c r="D49" s="356">
        <f aca="true" t="shared" si="29" ref="D49:E51">F49+H49+J49+N49+P49+L49+R49+T49</f>
        <v>11771999</v>
      </c>
      <c r="E49" s="356">
        <f t="shared" si="29"/>
        <v>114300</v>
      </c>
      <c r="F49" s="352">
        <f>59845</f>
        <v>59845</v>
      </c>
      <c r="G49" s="352">
        <v>43</v>
      </c>
      <c r="H49" s="352">
        <v>11354248</v>
      </c>
      <c r="I49" s="352">
        <v>103369</v>
      </c>
      <c r="J49" s="352">
        <v>9177</v>
      </c>
      <c r="K49" s="352">
        <v>100</v>
      </c>
      <c r="L49" s="352">
        <v>86</v>
      </c>
      <c r="M49" s="352">
        <v>7</v>
      </c>
      <c r="N49" s="352">
        <v>205489</v>
      </c>
      <c r="O49" s="352">
        <v>5661</v>
      </c>
      <c r="P49" s="352">
        <v>1994</v>
      </c>
      <c r="Q49" s="352">
        <v>2</v>
      </c>
      <c r="R49" s="352">
        <v>5778</v>
      </c>
      <c r="S49" s="352">
        <v>19</v>
      </c>
      <c r="T49" s="352">
        <v>135382</v>
      </c>
      <c r="U49" s="352">
        <v>5099</v>
      </c>
      <c r="V49" s="358">
        <f aca="true" t="shared" si="30" ref="V49:W51">+X49+Z49</f>
        <v>31696</v>
      </c>
      <c r="W49" s="352">
        <f t="shared" si="30"/>
        <v>77</v>
      </c>
      <c r="X49" s="352">
        <v>28922</v>
      </c>
      <c r="Y49" s="352">
        <v>41</v>
      </c>
      <c r="Z49" s="352">
        <v>2774</v>
      </c>
      <c r="AA49" s="352">
        <v>36</v>
      </c>
      <c r="AB49" s="352">
        <f aca="true" t="shared" si="31" ref="AB49:AC52">AD49+AF49</f>
        <v>37685</v>
      </c>
      <c r="AC49" s="352">
        <f t="shared" si="31"/>
        <v>274</v>
      </c>
      <c r="AD49" s="358">
        <v>22589</v>
      </c>
      <c r="AE49" s="358">
        <v>136</v>
      </c>
      <c r="AF49" s="358">
        <v>15096</v>
      </c>
      <c r="AG49" s="358">
        <v>138</v>
      </c>
      <c r="AH49" s="359"/>
    </row>
    <row r="50" spans="1:34" s="360" customFormat="1" ht="15.75" customHeight="1">
      <c r="A50" s="355" t="s">
        <v>224</v>
      </c>
      <c r="B50" s="356">
        <f t="shared" si="27"/>
        <v>82924</v>
      </c>
      <c r="C50" s="356">
        <f t="shared" si="28"/>
        <v>501</v>
      </c>
      <c r="D50" s="356">
        <f t="shared" si="29"/>
        <v>61832</v>
      </c>
      <c r="E50" s="356">
        <f t="shared" si="29"/>
        <v>385</v>
      </c>
      <c r="F50" s="352">
        <v>24373</v>
      </c>
      <c r="G50" s="352">
        <v>13</v>
      </c>
      <c r="H50" s="352">
        <v>22740</v>
      </c>
      <c r="I50" s="352">
        <v>248</v>
      </c>
      <c r="J50" s="352">
        <v>2222</v>
      </c>
      <c r="K50" s="352">
        <v>40</v>
      </c>
      <c r="L50" s="352">
        <v>0</v>
      </c>
      <c r="M50" s="352">
        <v>0</v>
      </c>
      <c r="N50" s="352">
        <v>2065</v>
      </c>
      <c r="O50" s="352">
        <v>8</v>
      </c>
      <c r="P50" s="352">
        <v>266</v>
      </c>
      <c r="Q50" s="352">
        <v>5</v>
      </c>
      <c r="R50" s="352">
        <v>8520</v>
      </c>
      <c r="S50" s="352">
        <v>18</v>
      </c>
      <c r="T50" s="352">
        <v>1646</v>
      </c>
      <c r="U50" s="352">
        <v>53</v>
      </c>
      <c r="V50" s="358">
        <f t="shared" si="30"/>
        <v>10336</v>
      </c>
      <c r="W50" s="352">
        <f t="shared" si="30"/>
        <v>33</v>
      </c>
      <c r="X50" s="352">
        <v>9042</v>
      </c>
      <c r="Y50" s="352">
        <v>21</v>
      </c>
      <c r="Z50" s="352">
        <v>1294</v>
      </c>
      <c r="AA50" s="352">
        <v>12</v>
      </c>
      <c r="AB50" s="352">
        <f t="shared" si="31"/>
        <v>10756</v>
      </c>
      <c r="AC50" s="352">
        <f t="shared" si="31"/>
        <v>83</v>
      </c>
      <c r="AD50" s="358">
        <v>10415</v>
      </c>
      <c r="AE50" s="358">
        <v>75</v>
      </c>
      <c r="AF50" s="358">
        <v>341</v>
      </c>
      <c r="AG50" s="358">
        <v>8</v>
      </c>
      <c r="AH50" s="359"/>
    </row>
    <row r="51" spans="1:34" s="360" customFormat="1" ht="15.75" customHeight="1">
      <c r="A51" s="355" t="s">
        <v>226</v>
      </c>
      <c r="B51" s="356">
        <f t="shared" si="27"/>
        <v>380605</v>
      </c>
      <c r="C51" s="356">
        <f t="shared" si="28"/>
        <v>2176</v>
      </c>
      <c r="D51" s="356">
        <f t="shared" si="29"/>
        <v>314271</v>
      </c>
      <c r="E51" s="356">
        <f t="shared" si="29"/>
        <v>1901</v>
      </c>
      <c r="F51" s="352">
        <v>117946</v>
      </c>
      <c r="G51" s="352">
        <v>59</v>
      </c>
      <c r="H51" s="352">
        <v>154429</v>
      </c>
      <c r="I51" s="352">
        <v>1494</v>
      </c>
      <c r="J51" s="352">
        <v>15725</v>
      </c>
      <c r="K51" s="352">
        <v>267</v>
      </c>
      <c r="L51" s="352">
        <v>0</v>
      </c>
      <c r="M51" s="352">
        <v>0</v>
      </c>
      <c r="N51" s="352">
        <v>13801</v>
      </c>
      <c r="O51" s="352">
        <v>26</v>
      </c>
      <c r="P51" s="352">
        <v>403</v>
      </c>
      <c r="Q51" s="352">
        <v>3</v>
      </c>
      <c r="R51" s="352">
        <v>11238</v>
      </c>
      <c r="S51" s="352">
        <v>21</v>
      </c>
      <c r="T51" s="352">
        <v>729</v>
      </c>
      <c r="U51" s="352">
        <v>31</v>
      </c>
      <c r="V51" s="358">
        <f t="shared" si="30"/>
        <v>33876</v>
      </c>
      <c r="W51" s="352">
        <f t="shared" si="30"/>
        <v>65</v>
      </c>
      <c r="X51" s="352">
        <v>28975</v>
      </c>
      <c r="Y51" s="352">
        <v>34</v>
      </c>
      <c r="Z51" s="352">
        <v>4901</v>
      </c>
      <c r="AA51" s="352">
        <v>31</v>
      </c>
      <c r="AB51" s="352">
        <f t="shared" si="31"/>
        <v>32458</v>
      </c>
      <c r="AC51" s="352">
        <f t="shared" si="31"/>
        <v>210</v>
      </c>
      <c r="AD51" s="358">
        <v>28707</v>
      </c>
      <c r="AE51" s="358">
        <v>160</v>
      </c>
      <c r="AF51" s="358">
        <v>3751</v>
      </c>
      <c r="AG51" s="358">
        <v>50</v>
      </c>
      <c r="AH51" s="359"/>
    </row>
    <row r="52" spans="1:34" s="360" customFormat="1" ht="15.75" customHeight="1">
      <c r="A52" s="355" t="s">
        <v>227</v>
      </c>
      <c r="B52" s="356">
        <f t="shared" si="27"/>
        <v>190389</v>
      </c>
      <c r="C52" s="356">
        <f t="shared" si="28"/>
        <v>875</v>
      </c>
      <c r="D52" s="356">
        <f>F52+H52+J52+N52+P52+L52+R52+T52</f>
        <v>114640</v>
      </c>
      <c r="E52" s="356">
        <f>G52+I52+K52+O52+Q52+M52+S52+U52</f>
        <v>601</v>
      </c>
      <c r="F52" s="352">
        <v>66286</v>
      </c>
      <c r="G52" s="352">
        <v>36</v>
      </c>
      <c r="H52" s="352">
        <v>31734</v>
      </c>
      <c r="I52" s="352">
        <v>440</v>
      </c>
      <c r="J52" s="352">
        <v>5011</v>
      </c>
      <c r="K52" s="352">
        <v>85</v>
      </c>
      <c r="L52" s="352">
        <v>0</v>
      </c>
      <c r="M52" s="352">
        <v>0</v>
      </c>
      <c r="N52" s="352">
        <v>1611</v>
      </c>
      <c r="O52" s="352">
        <v>8</v>
      </c>
      <c r="P52" s="352">
        <v>1487</v>
      </c>
      <c r="Q52" s="352">
        <v>3</v>
      </c>
      <c r="R52" s="352">
        <v>8287</v>
      </c>
      <c r="S52" s="352">
        <v>14</v>
      </c>
      <c r="T52" s="352">
        <v>224</v>
      </c>
      <c r="U52" s="352">
        <v>15</v>
      </c>
      <c r="V52" s="358">
        <f>+X52+Z52</f>
        <v>35342</v>
      </c>
      <c r="W52" s="352">
        <f>+Y52+AA52</f>
        <v>60</v>
      </c>
      <c r="X52" s="352">
        <v>30268</v>
      </c>
      <c r="Y52" s="352">
        <v>30</v>
      </c>
      <c r="Z52" s="352">
        <v>5074</v>
      </c>
      <c r="AA52" s="352">
        <v>30</v>
      </c>
      <c r="AB52" s="352">
        <f t="shared" si="31"/>
        <v>40407</v>
      </c>
      <c r="AC52" s="352">
        <f t="shared" si="31"/>
        <v>214</v>
      </c>
      <c r="AD52" s="358">
        <v>39856</v>
      </c>
      <c r="AE52" s="358">
        <v>202</v>
      </c>
      <c r="AF52" s="358">
        <v>551</v>
      </c>
      <c r="AG52" s="358">
        <v>12</v>
      </c>
      <c r="AH52" s="359"/>
    </row>
    <row r="53" spans="1:34" s="360" customFormat="1" ht="15.75" customHeight="1">
      <c r="A53" s="355" t="s">
        <v>228</v>
      </c>
      <c r="B53" s="356">
        <f t="shared" si="27"/>
        <v>99337</v>
      </c>
      <c r="C53" s="356">
        <f t="shared" si="28"/>
        <v>395</v>
      </c>
      <c r="D53" s="356">
        <f>F53+H53+J53+N53+P53+L53+R53+T53</f>
        <v>37239</v>
      </c>
      <c r="E53" s="356">
        <f>G53+I53+K53+O53+Q53+M53+S53+U53</f>
        <v>170</v>
      </c>
      <c r="F53" s="352">
        <v>12624</v>
      </c>
      <c r="G53" s="352">
        <v>7</v>
      </c>
      <c r="H53" s="352">
        <v>4678</v>
      </c>
      <c r="I53" s="352">
        <v>95</v>
      </c>
      <c r="J53" s="352">
        <v>1466</v>
      </c>
      <c r="K53" s="352">
        <v>22</v>
      </c>
      <c r="L53" s="352">
        <v>0</v>
      </c>
      <c r="M53" s="352">
        <v>0</v>
      </c>
      <c r="N53" s="352">
        <v>4457</v>
      </c>
      <c r="O53" s="352">
        <v>8</v>
      </c>
      <c r="P53" s="352">
        <v>3015</v>
      </c>
      <c r="Q53" s="352">
        <v>6</v>
      </c>
      <c r="R53" s="352">
        <v>10971</v>
      </c>
      <c r="S53" s="352">
        <v>22</v>
      </c>
      <c r="T53" s="352">
        <v>28</v>
      </c>
      <c r="U53" s="352">
        <v>10</v>
      </c>
      <c r="V53" s="358">
        <f>+X53+Z53</f>
        <v>29199</v>
      </c>
      <c r="W53" s="352">
        <f>+Y53+AA53</f>
        <v>53</v>
      </c>
      <c r="X53" s="352">
        <v>25278</v>
      </c>
      <c r="Y53" s="352">
        <v>31</v>
      </c>
      <c r="Z53" s="352">
        <v>3921</v>
      </c>
      <c r="AA53" s="352">
        <v>22</v>
      </c>
      <c r="AB53" s="352">
        <f aca="true" t="shared" si="32" ref="AB53:AC56">AD53+AF53</f>
        <v>32899</v>
      </c>
      <c r="AC53" s="352">
        <f t="shared" si="32"/>
        <v>172</v>
      </c>
      <c r="AD53" s="358">
        <v>32099</v>
      </c>
      <c r="AE53" s="358">
        <v>166</v>
      </c>
      <c r="AF53" s="358">
        <v>800</v>
      </c>
      <c r="AG53" s="358">
        <v>6</v>
      </c>
      <c r="AH53" s="359"/>
    </row>
    <row r="54" spans="1:34" s="360" customFormat="1" ht="15.75" customHeight="1">
      <c r="A54" s="355" t="s">
        <v>230</v>
      </c>
      <c r="B54" s="356">
        <f aca="true" t="shared" si="33" ref="B54:B59">D54++V54+AB54</f>
        <v>205665</v>
      </c>
      <c r="C54" s="356">
        <f aca="true" t="shared" si="34" ref="C54:C59">E54+W54+AC54</f>
        <v>1983</v>
      </c>
      <c r="D54" s="356">
        <f aca="true" t="shared" si="35" ref="D54:E57">F54+H54+J54+N54+P54+L54+R54+T54</f>
        <v>139434</v>
      </c>
      <c r="E54" s="356">
        <f t="shared" si="35"/>
        <v>1708</v>
      </c>
      <c r="F54" s="352">
        <v>79512</v>
      </c>
      <c r="G54" s="352">
        <v>42</v>
      </c>
      <c r="H54" s="352">
        <v>32491</v>
      </c>
      <c r="I54" s="352">
        <v>1392</v>
      </c>
      <c r="J54" s="352">
        <v>12757</v>
      </c>
      <c r="K54" s="352">
        <v>221</v>
      </c>
      <c r="L54" s="352">
        <v>0</v>
      </c>
      <c r="M54" s="352">
        <v>0</v>
      </c>
      <c r="N54" s="352">
        <v>6206</v>
      </c>
      <c r="O54" s="352">
        <v>19</v>
      </c>
      <c r="P54" s="352">
        <v>1832</v>
      </c>
      <c r="Q54" s="352">
        <v>3</v>
      </c>
      <c r="R54" s="352">
        <v>6458</v>
      </c>
      <c r="S54" s="352">
        <v>24</v>
      </c>
      <c r="T54" s="352">
        <v>178</v>
      </c>
      <c r="U54" s="352">
        <v>7</v>
      </c>
      <c r="V54" s="358">
        <f aca="true" t="shared" si="36" ref="V54:W57">+X54+Z54</f>
        <v>27495</v>
      </c>
      <c r="W54" s="352">
        <f t="shared" si="36"/>
        <v>45</v>
      </c>
      <c r="X54" s="352">
        <v>24175</v>
      </c>
      <c r="Y54" s="352">
        <v>24</v>
      </c>
      <c r="Z54" s="352">
        <v>3320</v>
      </c>
      <c r="AA54" s="352">
        <v>21</v>
      </c>
      <c r="AB54" s="352">
        <f t="shared" si="32"/>
        <v>38736</v>
      </c>
      <c r="AC54" s="352">
        <f t="shared" si="32"/>
        <v>230</v>
      </c>
      <c r="AD54" s="358">
        <v>33039</v>
      </c>
      <c r="AE54" s="358">
        <v>158</v>
      </c>
      <c r="AF54" s="358">
        <v>5697</v>
      </c>
      <c r="AG54" s="358">
        <v>72</v>
      </c>
      <c r="AH54" s="359"/>
    </row>
    <row r="55" spans="1:34" s="360" customFormat="1" ht="15.75" customHeight="1">
      <c r="A55" s="355" t="s">
        <v>231</v>
      </c>
      <c r="B55" s="356">
        <f t="shared" si="33"/>
        <v>13282107</v>
      </c>
      <c r="C55" s="356">
        <f t="shared" si="34"/>
        <v>123632</v>
      </c>
      <c r="D55" s="356">
        <f t="shared" si="35"/>
        <v>12684019</v>
      </c>
      <c r="E55" s="356">
        <f t="shared" si="35"/>
        <v>119485</v>
      </c>
      <c r="F55" s="352">
        <v>108455</v>
      </c>
      <c r="G55" s="352">
        <v>63</v>
      </c>
      <c r="H55" s="352">
        <v>12188766</v>
      </c>
      <c r="I55" s="352">
        <v>108011</v>
      </c>
      <c r="J55" s="352">
        <v>16444</v>
      </c>
      <c r="K55" s="352">
        <v>235</v>
      </c>
      <c r="L55" s="352">
        <v>87</v>
      </c>
      <c r="M55" s="352">
        <v>7</v>
      </c>
      <c r="N55" s="352">
        <v>207737</v>
      </c>
      <c r="O55" s="352">
        <v>5637</v>
      </c>
      <c r="P55" s="352">
        <v>4049</v>
      </c>
      <c r="Q55" s="352">
        <v>6</v>
      </c>
      <c r="R55" s="352">
        <v>7874</v>
      </c>
      <c r="S55" s="352">
        <v>17</v>
      </c>
      <c r="T55" s="352">
        <v>150607</v>
      </c>
      <c r="U55" s="352">
        <v>5509</v>
      </c>
      <c r="V55" s="358">
        <f t="shared" si="36"/>
        <v>536572</v>
      </c>
      <c r="W55" s="352">
        <f t="shared" si="36"/>
        <v>3698</v>
      </c>
      <c r="X55" s="352">
        <v>19165</v>
      </c>
      <c r="Y55" s="352">
        <v>20</v>
      </c>
      <c r="Z55" s="352">
        <v>517407</v>
      </c>
      <c r="AA55" s="352">
        <v>3678</v>
      </c>
      <c r="AB55" s="352">
        <f t="shared" si="32"/>
        <v>61516</v>
      </c>
      <c r="AC55" s="352">
        <f t="shared" si="32"/>
        <v>449</v>
      </c>
      <c r="AD55" s="358">
        <v>32946</v>
      </c>
      <c r="AE55" s="358">
        <v>188</v>
      </c>
      <c r="AF55" s="358">
        <v>28570</v>
      </c>
      <c r="AG55" s="358">
        <v>261</v>
      </c>
      <c r="AH55" s="359"/>
    </row>
    <row r="56" spans="1:34" s="360" customFormat="1" ht="15.75" customHeight="1">
      <c r="A56" s="355" t="s">
        <v>233</v>
      </c>
      <c r="B56" s="356">
        <f t="shared" si="33"/>
        <v>241775</v>
      </c>
      <c r="C56" s="356">
        <f t="shared" si="34"/>
        <v>1392</v>
      </c>
      <c r="D56" s="356">
        <f t="shared" si="35"/>
        <v>169133</v>
      </c>
      <c r="E56" s="356">
        <f t="shared" si="35"/>
        <v>1097</v>
      </c>
      <c r="F56" s="352">
        <v>37785</v>
      </c>
      <c r="G56" s="352">
        <v>22</v>
      </c>
      <c r="H56" s="352">
        <v>97668</v>
      </c>
      <c r="I56" s="352">
        <v>796</v>
      </c>
      <c r="J56" s="352">
        <v>7884</v>
      </c>
      <c r="K56" s="352">
        <v>161</v>
      </c>
      <c r="L56" s="352">
        <v>0</v>
      </c>
      <c r="M56" s="352">
        <v>0</v>
      </c>
      <c r="N56" s="352">
        <v>8577</v>
      </c>
      <c r="O56" s="352">
        <v>16</v>
      </c>
      <c r="P56" s="352">
        <v>450</v>
      </c>
      <c r="Q56" s="352">
        <v>4</v>
      </c>
      <c r="R56" s="352">
        <v>15169</v>
      </c>
      <c r="S56" s="352">
        <v>26</v>
      </c>
      <c r="T56" s="352">
        <v>1600</v>
      </c>
      <c r="U56" s="352">
        <v>72</v>
      </c>
      <c r="V56" s="358">
        <f t="shared" si="36"/>
        <v>29260</v>
      </c>
      <c r="W56" s="352">
        <f t="shared" si="36"/>
        <v>79</v>
      </c>
      <c r="X56" s="352">
        <v>24827</v>
      </c>
      <c r="Y56" s="352">
        <v>31</v>
      </c>
      <c r="Z56" s="352">
        <v>4433</v>
      </c>
      <c r="AA56" s="352">
        <v>48</v>
      </c>
      <c r="AB56" s="352">
        <f t="shared" si="32"/>
        <v>43382</v>
      </c>
      <c r="AC56" s="352">
        <f t="shared" si="32"/>
        <v>216</v>
      </c>
      <c r="AD56" s="358">
        <v>42468</v>
      </c>
      <c r="AE56" s="358">
        <v>190</v>
      </c>
      <c r="AF56" s="358">
        <v>914</v>
      </c>
      <c r="AG56" s="358">
        <v>26</v>
      </c>
      <c r="AH56" s="359"/>
    </row>
    <row r="57" spans="1:34" s="360" customFormat="1" ht="15.75" customHeight="1">
      <c r="A57" s="355" t="s">
        <v>236</v>
      </c>
      <c r="B57" s="356">
        <f t="shared" si="33"/>
        <v>176013</v>
      </c>
      <c r="C57" s="356">
        <f t="shared" si="34"/>
        <v>1009</v>
      </c>
      <c r="D57" s="356">
        <f t="shared" si="35"/>
        <v>124773</v>
      </c>
      <c r="E57" s="356">
        <f t="shared" si="35"/>
        <v>757</v>
      </c>
      <c r="F57" s="352">
        <v>51104</v>
      </c>
      <c r="G57" s="352">
        <v>29</v>
      </c>
      <c r="H57" s="352">
        <v>57401</v>
      </c>
      <c r="I57" s="352">
        <v>575</v>
      </c>
      <c r="J57" s="352">
        <v>6692</v>
      </c>
      <c r="K57" s="352">
        <v>112</v>
      </c>
      <c r="L57" s="352">
        <v>0</v>
      </c>
      <c r="M57" s="352">
        <v>0</v>
      </c>
      <c r="N57" s="352">
        <v>7797</v>
      </c>
      <c r="O57" s="352">
        <v>11</v>
      </c>
      <c r="P57" s="352">
        <v>166</v>
      </c>
      <c r="Q57" s="352">
        <v>3</v>
      </c>
      <c r="R57" s="352">
        <v>1038</v>
      </c>
      <c r="S57" s="352">
        <v>10</v>
      </c>
      <c r="T57" s="352">
        <v>575</v>
      </c>
      <c r="U57" s="352">
        <v>17</v>
      </c>
      <c r="V57" s="358">
        <f t="shared" si="36"/>
        <v>22765</v>
      </c>
      <c r="W57" s="352">
        <f t="shared" si="36"/>
        <v>64</v>
      </c>
      <c r="X57" s="352">
        <v>20017</v>
      </c>
      <c r="Y57" s="352">
        <v>26</v>
      </c>
      <c r="Z57" s="352">
        <v>2748</v>
      </c>
      <c r="AA57" s="352">
        <v>38</v>
      </c>
      <c r="AB57" s="352">
        <f aca="true" t="shared" si="37" ref="AB57:AC61">AD57+AF57</f>
        <v>28475</v>
      </c>
      <c r="AC57" s="352">
        <f t="shared" si="37"/>
        <v>188</v>
      </c>
      <c r="AD57" s="358">
        <v>27098</v>
      </c>
      <c r="AE57" s="358">
        <v>170</v>
      </c>
      <c r="AF57" s="358">
        <v>1377</v>
      </c>
      <c r="AG57" s="358">
        <v>18</v>
      </c>
      <c r="AH57" s="359"/>
    </row>
    <row r="58" spans="1:34" s="360" customFormat="1" ht="15.75" customHeight="1">
      <c r="A58" s="355" t="s">
        <v>238</v>
      </c>
      <c r="B58" s="356">
        <f t="shared" si="33"/>
        <v>126833</v>
      </c>
      <c r="C58" s="356">
        <f t="shared" si="34"/>
        <v>686</v>
      </c>
      <c r="D58" s="356">
        <f aca="true" t="shared" si="38" ref="D58:E60">F58+H58+J58+N58+P58+L58+R58+T58</f>
        <v>77062</v>
      </c>
      <c r="E58" s="356">
        <f t="shared" si="38"/>
        <v>478</v>
      </c>
      <c r="F58" s="352">
        <v>36130</v>
      </c>
      <c r="G58" s="352">
        <v>18</v>
      </c>
      <c r="H58" s="352">
        <v>26317</v>
      </c>
      <c r="I58" s="352">
        <v>349</v>
      </c>
      <c r="J58" s="352">
        <v>4642</v>
      </c>
      <c r="K58" s="352">
        <v>76</v>
      </c>
      <c r="L58" s="352">
        <v>0</v>
      </c>
      <c r="M58" s="352">
        <v>0</v>
      </c>
      <c r="N58" s="352">
        <v>1495</v>
      </c>
      <c r="O58" s="352">
        <v>4</v>
      </c>
      <c r="P58" s="352">
        <v>4706</v>
      </c>
      <c r="Q58" s="352">
        <v>4</v>
      </c>
      <c r="R58" s="352">
        <v>3475</v>
      </c>
      <c r="S58" s="352">
        <v>12</v>
      </c>
      <c r="T58" s="352">
        <v>297</v>
      </c>
      <c r="U58" s="352">
        <v>15</v>
      </c>
      <c r="V58" s="358">
        <f aca="true" t="shared" si="39" ref="V58:W60">+X58+Z58</f>
        <v>25083</v>
      </c>
      <c r="W58" s="352">
        <f t="shared" si="39"/>
        <v>56</v>
      </c>
      <c r="X58" s="352">
        <v>22429</v>
      </c>
      <c r="Y58" s="352">
        <v>22</v>
      </c>
      <c r="Z58" s="352">
        <v>2654</v>
      </c>
      <c r="AA58" s="352">
        <v>34</v>
      </c>
      <c r="AB58" s="352">
        <f>AD58+AF58</f>
        <v>24688</v>
      </c>
      <c r="AC58" s="352">
        <f>AE58+AG58</f>
        <v>152</v>
      </c>
      <c r="AD58" s="358">
        <v>23415</v>
      </c>
      <c r="AE58" s="358">
        <v>138</v>
      </c>
      <c r="AF58" s="358">
        <v>1273</v>
      </c>
      <c r="AG58" s="358">
        <v>14</v>
      </c>
      <c r="AH58" s="359"/>
    </row>
    <row r="59" spans="1:34" s="360" customFormat="1" ht="15.75" customHeight="1">
      <c r="A59" s="355" t="s">
        <v>239</v>
      </c>
      <c r="B59" s="356">
        <f t="shared" si="33"/>
        <v>80530</v>
      </c>
      <c r="C59" s="356">
        <f t="shared" si="34"/>
        <v>420</v>
      </c>
      <c r="D59" s="356">
        <f t="shared" si="38"/>
        <v>35423</v>
      </c>
      <c r="E59" s="356">
        <f t="shared" si="38"/>
        <v>204</v>
      </c>
      <c r="F59" s="352">
        <v>16484</v>
      </c>
      <c r="G59" s="352">
        <v>11</v>
      </c>
      <c r="H59" s="352">
        <v>5069</v>
      </c>
      <c r="I59" s="352">
        <v>124</v>
      </c>
      <c r="J59" s="352">
        <v>1485</v>
      </c>
      <c r="K59" s="352">
        <v>23</v>
      </c>
      <c r="L59" s="352">
        <v>0</v>
      </c>
      <c r="M59" s="352">
        <v>0</v>
      </c>
      <c r="N59" s="352">
        <v>3015</v>
      </c>
      <c r="O59" s="352">
        <v>6</v>
      </c>
      <c r="P59" s="352">
        <v>0</v>
      </c>
      <c r="Q59" s="352">
        <v>2</v>
      </c>
      <c r="R59" s="352">
        <v>9268</v>
      </c>
      <c r="S59" s="352">
        <v>22</v>
      </c>
      <c r="T59" s="352">
        <v>102</v>
      </c>
      <c r="U59" s="352">
        <v>16</v>
      </c>
      <c r="V59" s="358">
        <f t="shared" si="39"/>
        <v>17798</v>
      </c>
      <c r="W59" s="352">
        <f t="shared" si="39"/>
        <v>53</v>
      </c>
      <c r="X59" s="352">
        <v>15660</v>
      </c>
      <c r="Y59" s="352">
        <v>19</v>
      </c>
      <c r="Z59" s="352">
        <v>2138</v>
      </c>
      <c r="AA59" s="352">
        <v>34</v>
      </c>
      <c r="AB59" s="352">
        <f>AD59+AF59</f>
        <v>27309</v>
      </c>
      <c r="AC59" s="352">
        <f>AE59+AG59</f>
        <v>163</v>
      </c>
      <c r="AD59" s="358">
        <v>26568</v>
      </c>
      <c r="AE59" s="358">
        <v>151</v>
      </c>
      <c r="AF59" s="358">
        <v>741</v>
      </c>
      <c r="AG59" s="358">
        <v>12</v>
      </c>
      <c r="AH59" s="359"/>
    </row>
    <row r="60" spans="1:34" s="360" customFormat="1" ht="15.75" customHeight="1">
      <c r="A60" s="355" t="s">
        <v>243</v>
      </c>
      <c r="B60" s="356">
        <f t="shared" si="27"/>
        <v>232158</v>
      </c>
      <c r="C60" s="356">
        <f t="shared" si="28"/>
        <v>2325</v>
      </c>
      <c r="D60" s="356">
        <f t="shared" si="38"/>
        <v>166738</v>
      </c>
      <c r="E60" s="356">
        <f t="shared" si="38"/>
        <v>2002</v>
      </c>
      <c r="F60" s="352">
        <v>104260</v>
      </c>
      <c r="G60" s="352">
        <v>65</v>
      </c>
      <c r="H60" s="352">
        <v>31527</v>
      </c>
      <c r="I60" s="352">
        <v>1701</v>
      </c>
      <c r="J60" s="352">
        <v>9657</v>
      </c>
      <c r="K60" s="352">
        <v>170</v>
      </c>
      <c r="L60" s="352">
        <v>0</v>
      </c>
      <c r="M60" s="352">
        <v>0</v>
      </c>
      <c r="N60" s="352">
        <v>10430</v>
      </c>
      <c r="O60" s="352">
        <v>23</v>
      </c>
      <c r="P60" s="352">
        <v>1285</v>
      </c>
      <c r="Q60" s="352">
        <v>3</v>
      </c>
      <c r="R60" s="352">
        <v>9556</v>
      </c>
      <c r="S60" s="352">
        <v>26</v>
      </c>
      <c r="T60" s="352">
        <v>23</v>
      </c>
      <c r="U60" s="352">
        <v>14</v>
      </c>
      <c r="V60" s="358">
        <f t="shared" si="39"/>
        <v>26841</v>
      </c>
      <c r="W60" s="352">
        <f t="shared" si="39"/>
        <v>65</v>
      </c>
      <c r="X60" s="352">
        <v>25233</v>
      </c>
      <c r="Y60" s="352">
        <v>28</v>
      </c>
      <c r="Z60" s="352">
        <v>1608</v>
      </c>
      <c r="AA60" s="352">
        <v>37</v>
      </c>
      <c r="AB60" s="352">
        <f t="shared" si="37"/>
        <v>38579</v>
      </c>
      <c r="AC60" s="352">
        <f t="shared" si="37"/>
        <v>258</v>
      </c>
      <c r="AD60" s="358">
        <v>32121</v>
      </c>
      <c r="AE60" s="358">
        <v>174</v>
      </c>
      <c r="AF60" s="358">
        <v>6458</v>
      </c>
      <c r="AG60" s="358">
        <v>84</v>
      </c>
      <c r="AH60" s="359"/>
    </row>
    <row r="61" spans="1:34" s="184" customFormat="1" ht="15.75" customHeight="1">
      <c r="A61" s="158" t="s">
        <v>10</v>
      </c>
      <c r="B61" s="73"/>
      <c r="C61" s="73"/>
      <c r="D61" s="263">
        <f>F61+H61+J61+L61+N61+P61+R61+T61</f>
        <v>100.00000000000001</v>
      </c>
      <c r="E61" s="263">
        <f>G61+I61+K61+M61+O61+Q61+S61+U61</f>
        <v>100</v>
      </c>
      <c r="F61" s="73">
        <f>ROUND(F60/$D60*100,2)</f>
        <v>62.53</v>
      </c>
      <c r="G61" s="73">
        <f>ROUND(G60/$E60*100,2)</f>
        <v>3.25</v>
      </c>
      <c r="H61" s="73">
        <f>ROUND(H60/$D60*100,2)</f>
        <v>18.91</v>
      </c>
      <c r="I61" s="378">
        <f>ROUND(I60/$E60*100,2)-0.01</f>
        <v>84.96</v>
      </c>
      <c r="J61" s="73">
        <f aca="true" t="shared" si="40" ref="J61:R61">ROUND(J60/$D60*100,2)</f>
        <v>5.79</v>
      </c>
      <c r="K61" s="73">
        <f>ROUND(K60/$E60*100,2)</f>
        <v>8.49</v>
      </c>
      <c r="L61" s="73">
        <f t="shared" si="40"/>
        <v>0</v>
      </c>
      <c r="M61" s="73">
        <f>ROUND(M60/$E60*100,2)</f>
        <v>0</v>
      </c>
      <c r="N61" s="73">
        <f t="shared" si="40"/>
        <v>6.26</v>
      </c>
      <c r="O61" s="73">
        <f>ROUND(O60/$E60*100,2)</f>
        <v>1.15</v>
      </c>
      <c r="P61" s="73">
        <f t="shared" si="40"/>
        <v>0.77</v>
      </c>
      <c r="Q61" s="73">
        <f>ROUND(Q60/$E60*100,2)</f>
        <v>0.15</v>
      </c>
      <c r="R61" s="73">
        <f t="shared" si="40"/>
        <v>5.73</v>
      </c>
      <c r="S61" s="73">
        <f>ROUND(S60/$E60*100,2)</f>
        <v>1.3</v>
      </c>
      <c r="T61" s="73">
        <f>ROUND(T60/$D60*100,2)</f>
        <v>0.01</v>
      </c>
      <c r="U61" s="73">
        <f>ROUND(U60/$E60*100,2)</f>
        <v>0.7</v>
      </c>
      <c r="V61" s="73">
        <f>X61+Z61</f>
        <v>100</v>
      </c>
      <c r="W61" s="73">
        <f>Y61+AA61</f>
        <v>100</v>
      </c>
      <c r="X61" s="73">
        <f>ROUND(X60/$V$60*100,2)</f>
        <v>94.01</v>
      </c>
      <c r="Y61" s="73">
        <f>ROUND(Y60/$W$60*100,2)</f>
        <v>43.08</v>
      </c>
      <c r="Z61" s="73">
        <f>ROUND(Z60/$V$60*100,2)</f>
        <v>5.99</v>
      </c>
      <c r="AA61" s="73">
        <f>ROUND(AA60/$W$60*100,2)</f>
        <v>56.92</v>
      </c>
      <c r="AB61" s="73">
        <f t="shared" si="37"/>
        <v>100</v>
      </c>
      <c r="AC61" s="73">
        <f t="shared" si="37"/>
        <v>100</v>
      </c>
      <c r="AD61" s="73">
        <f>ROUND(AD60/$AB$60*100,2)</f>
        <v>83.26</v>
      </c>
      <c r="AE61" s="73">
        <f>ROUND(AE60/$AC$60*100,2)</f>
        <v>67.44</v>
      </c>
      <c r="AF61" s="73">
        <f>ROUND(AF60/$AB$60*100,2)</f>
        <v>16.74</v>
      </c>
      <c r="AG61" s="73">
        <f>ROUND(AG60/$AC$60*100,2)</f>
        <v>32.56</v>
      </c>
      <c r="AH61" s="74"/>
    </row>
    <row r="62" spans="1:34" s="52" customFormat="1" ht="15.75" customHeight="1">
      <c r="A62" s="91" t="s">
        <v>89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3"/>
      <c r="AF62" s="63"/>
      <c r="AG62" s="63"/>
      <c r="AH62" s="62"/>
    </row>
    <row r="63" spans="1:44" s="52" customFormat="1" ht="15.75" customHeight="1">
      <c r="A63" s="92" t="s">
        <v>70</v>
      </c>
      <c r="B63" s="50"/>
      <c r="C63" s="50"/>
      <c r="D63" s="50"/>
      <c r="E63" s="50"/>
      <c r="F63" s="50"/>
      <c r="G63" s="50"/>
      <c r="R63" s="69"/>
      <c r="S63" s="69"/>
      <c r="AH63" s="93"/>
      <c r="AI63" s="93"/>
      <c r="AL63" s="63"/>
      <c r="AM63" s="63"/>
      <c r="AN63" s="63"/>
      <c r="AO63" s="63"/>
      <c r="AP63" s="63"/>
      <c r="AQ63" s="63"/>
      <c r="AR63" s="50"/>
    </row>
    <row r="64" spans="1:34" ht="16.5">
      <c r="A64" s="92" t="s">
        <v>72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13"/>
    </row>
  </sheetData>
  <sheetProtection/>
  <mergeCells count="8">
    <mergeCell ref="B3:C4"/>
    <mergeCell ref="AB3:AG3"/>
    <mergeCell ref="N4:O4"/>
    <mergeCell ref="AD4:AE4"/>
    <mergeCell ref="AF4:AG4"/>
    <mergeCell ref="D3:Q3"/>
    <mergeCell ref="R3:U3"/>
    <mergeCell ref="V3:AA3"/>
  </mergeCells>
  <printOptions horizontalCentered="1" verticalCentered="1"/>
  <pageMargins left="0.7874015748031497" right="0.35433070866141736" top="0.35433070866141736" bottom="0.31496062992125984" header="0.4330708661417323" footer="0.2362204724409449"/>
  <pageSetup horizontalDpi="600" verticalDpi="6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64"/>
  <sheetViews>
    <sheetView zoomScale="140" zoomScaleNormal="140" zoomScalePageLayoutView="0"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61" sqref="Q61"/>
    </sheetView>
  </sheetViews>
  <sheetFormatPr defaultColWidth="9.00390625" defaultRowHeight="36" customHeight="1"/>
  <cols>
    <col min="1" max="2" width="10.00390625" style="65" customWidth="1"/>
    <col min="3" max="3" width="7.50390625" style="65" customWidth="1"/>
    <col min="4" max="4" width="9.50390625" style="65" customWidth="1"/>
    <col min="5" max="5" width="7.375" style="65" customWidth="1"/>
    <col min="6" max="6" width="8.625" style="65" customWidth="1"/>
    <col min="7" max="7" width="6.00390625" style="65" customWidth="1"/>
    <col min="8" max="8" width="10.50390625" style="65" bestFit="1" customWidth="1"/>
    <col min="9" max="9" width="6.75390625" style="65" customWidth="1"/>
    <col min="10" max="10" width="7.25390625" style="65" customWidth="1"/>
    <col min="11" max="11" width="6.125" style="65" customWidth="1"/>
    <col min="12" max="12" width="6.25390625" style="65" customWidth="1"/>
    <col min="13" max="13" width="5.75390625" style="65" customWidth="1"/>
    <col min="14" max="14" width="7.375" style="65" customWidth="1"/>
    <col min="15" max="15" width="6.375" style="65" customWidth="1"/>
    <col min="16" max="16" width="7.125" style="65" customWidth="1"/>
    <col min="17" max="17" width="5.75390625" style="65" customWidth="1"/>
    <col min="18" max="18" width="7.00390625" style="65" bestFit="1" customWidth="1"/>
    <col min="19" max="19" width="6.625" style="65" customWidth="1"/>
    <col min="20" max="20" width="7.125" style="65" customWidth="1"/>
    <col min="21" max="21" width="6.00390625" style="65" customWidth="1"/>
    <col min="22" max="22" width="7.125" style="65" customWidth="1"/>
    <col min="23" max="23" width="6.00390625" style="65" customWidth="1"/>
    <col min="24" max="24" width="7.125" style="65" customWidth="1"/>
    <col min="25" max="25" width="6.125" style="65" customWidth="1"/>
    <col min="26" max="26" width="7.125" style="65" customWidth="1"/>
    <col min="27" max="27" width="6.75390625" style="65" bestFit="1" customWidth="1"/>
    <col min="28" max="28" width="7.00390625" style="65" customWidth="1"/>
    <col min="29" max="29" width="6.375" style="65" customWidth="1"/>
    <col min="30" max="30" width="6.50390625" style="65" customWidth="1"/>
    <col min="31" max="31" width="6.00390625" style="65" customWidth="1"/>
    <col min="32" max="32" width="6.375" style="65" customWidth="1"/>
    <col min="33" max="33" width="6.125" style="65" customWidth="1"/>
    <col min="34" max="16384" width="9.00390625" style="11" customWidth="1"/>
  </cols>
  <sheetData>
    <row r="1" spans="1:44" ht="18" customHeight="1">
      <c r="A1" s="219" t="s">
        <v>151</v>
      </c>
      <c r="B1" s="44"/>
      <c r="C1" s="44"/>
      <c r="D1" s="43"/>
      <c r="E1" s="50"/>
      <c r="F1" s="50"/>
      <c r="G1" s="50"/>
      <c r="H1" s="51"/>
      <c r="I1" s="51"/>
      <c r="J1" s="52"/>
      <c r="K1" s="52"/>
      <c r="L1" s="52"/>
      <c r="M1" s="52"/>
      <c r="N1" s="51"/>
      <c r="O1" s="51"/>
      <c r="P1" s="52"/>
      <c r="Q1" s="52"/>
      <c r="R1" s="219" t="s">
        <v>156</v>
      </c>
      <c r="S1" s="51"/>
      <c r="T1" s="52"/>
      <c r="U1" s="52"/>
      <c r="V1" s="52"/>
      <c r="W1" s="52"/>
      <c r="X1" s="52"/>
      <c r="Y1" s="52"/>
      <c r="Z1" s="52"/>
      <c r="AA1" s="43"/>
      <c r="AB1" s="43"/>
      <c r="AC1" s="43"/>
      <c r="AD1" s="52"/>
      <c r="AE1" s="52"/>
      <c r="AF1" s="52"/>
      <c r="AG1" s="52"/>
      <c r="AH1" s="27"/>
      <c r="AI1" s="12"/>
      <c r="AJ1" s="12"/>
      <c r="AK1" s="12"/>
      <c r="AL1" s="12"/>
      <c r="AM1" s="12"/>
      <c r="AN1" s="12"/>
      <c r="AO1" s="12"/>
      <c r="AP1" s="12"/>
      <c r="AQ1" s="12"/>
      <c r="AR1" s="12"/>
    </row>
    <row r="2" spans="1:34" ht="18" customHeight="1">
      <c r="A2" s="50"/>
      <c r="B2" s="50"/>
      <c r="C2" s="50"/>
      <c r="D2" s="50"/>
      <c r="E2" s="50"/>
      <c r="F2" s="50"/>
      <c r="G2" s="50"/>
      <c r="H2" s="52"/>
      <c r="I2" s="52"/>
      <c r="J2" s="52"/>
      <c r="K2" s="52"/>
      <c r="L2" s="52"/>
      <c r="M2" s="52"/>
      <c r="N2" s="52"/>
      <c r="O2" s="52"/>
      <c r="P2" s="52"/>
      <c r="Q2" s="69" t="s">
        <v>85</v>
      </c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90" t="s">
        <v>67</v>
      </c>
      <c r="AD2"/>
      <c r="AE2" s="52"/>
      <c r="AF2" s="43"/>
      <c r="AG2" s="69" t="s">
        <v>85</v>
      </c>
      <c r="AH2" s="27"/>
    </row>
    <row r="3" spans="1:34" ht="15.75" customHeight="1">
      <c r="A3" s="53"/>
      <c r="B3" s="474" t="s">
        <v>52</v>
      </c>
      <c r="C3" s="406"/>
      <c r="D3" s="475" t="s">
        <v>63</v>
      </c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7"/>
      <c r="R3" s="465" t="s">
        <v>86</v>
      </c>
      <c r="S3" s="466"/>
      <c r="T3" s="466"/>
      <c r="U3" s="467"/>
      <c r="V3" s="475" t="s">
        <v>41</v>
      </c>
      <c r="W3" s="466"/>
      <c r="X3" s="466"/>
      <c r="Y3" s="466"/>
      <c r="Z3" s="466"/>
      <c r="AA3" s="467"/>
      <c r="AB3" s="475" t="s">
        <v>66</v>
      </c>
      <c r="AC3" s="476"/>
      <c r="AD3" s="476"/>
      <c r="AE3" s="476"/>
      <c r="AF3" s="476"/>
      <c r="AG3" s="477"/>
      <c r="AH3" s="27"/>
    </row>
    <row r="4" spans="1:34" ht="15.75" customHeight="1">
      <c r="A4" s="54" t="s">
        <v>68</v>
      </c>
      <c r="B4" s="407"/>
      <c r="C4" s="409"/>
      <c r="D4" s="56" t="s">
        <v>42</v>
      </c>
      <c r="E4" s="57"/>
      <c r="F4" s="56" t="s">
        <v>43</v>
      </c>
      <c r="G4" s="57"/>
      <c r="H4" s="56" t="s">
        <v>44</v>
      </c>
      <c r="I4" s="57"/>
      <c r="J4" s="56" t="s">
        <v>45</v>
      </c>
      <c r="K4" s="57"/>
      <c r="L4" s="58" t="s">
        <v>61</v>
      </c>
      <c r="M4" s="58"/>
      <c r="N4" s="475" t="s">
        <v>53</v>
      </c>
      <c r="O4" s="477"/>
      <c r="P4" s="59" t="s">
        <v>46</v>
      </c>
      <c r="Q4" s="59"/>
      <c r="R4" s="59" t="s">
        <v>49</v>
      </c>
      <c r="S4" s="59"/>
      <c r="T4" s="59" t="s">
        <v>50</v>
      </c>
      <c r="U4" s="59"/>
      <c r="V4" s="59" t="s">
        <v>42</v>
      </c>
      <c r="W4" s="59"/>
      <c r="X4" s="59" t="s">
        <v>47</v>
      </c>
      <c r="Y4" s="59"/>
      <c r="Z4" s="59" t="s">
        <v>48</v>
      </c>
      <c r="AA4" s="59"/>
      <c r="AB4" s="56" t="s">
        <v>65</v>
      </c>
      <c r="AC4" s="56"/>
      <c r="AD4" s="475" t="s">
        <v>62</v>
      </c>
      <c r="AE4" s="477"/>
      <c r="AF4" s="475" t="s">
        <v>64</v>
      </c>
      <c r="AG4" s="477"/>
      <c r="AH4" s="28"/>
    </row>
    <row r="5" spans="1:34" ht="15.75" customHeight="1">
      <c r="A5" s="60"/>
      <c r="B5" s="55" t="s">
        <v>51</v>
      </c>
      <c r="C5" s="55" t="s">
        <v>57</v>
      </c>
      <c r="D5" s="60" t="s">
        <v>51</v>
      </c>
      <c r="E5" s="55" t="s">
        <v>75</v>
      </c>
      <c r="F5" s="60" t="s">
        <v>51</v>
      </c>
      <c r="G5" s="55" t="s">
        <v>75</v>
      </c>
      <c r="H5" s="60" t="s">
        <v>51</v>
      </c>
      <c r="I5" s="55" t="s">
        <v>57</v>
      </c>
      <c r="J5" s="61" t="s">
        <v>51</v>
      </c>
      <c r="K5" s="55" t="s">
        <v>57</v>
      </c>
      <c r="L5" s="61" t="s">
        <v>51</v>
      </c>
      <c r="M5" s="55" t="s">
        <v>57</v>
      </c>
      <c r="N5" s="60" t="s">
        <v>51</v>
      </c>
      <c r="O5" s="55" t="s">
        <v>57</v>
      </c>
      <c r="P5" s="60" t="s">
        <v>51</v>
      </c>
      <c r="Q5" s="55" t="s">
        <v>57</v>
      </c>
      <c r="R5" s="60" t="s">
        <v>51</v>
      </c>
      <c r="S5" s="55" t="s">
        <v>75</v>
      </c>
      <c r="T5" s="60" t="s">
        <v>51</v>
      </c>
      <c r="U5" s="55" t="s">
        <v>75</v>
      </c>
      <c r="V5" s="60" t="s">
        <v>51</v>
      </c>
      <c r="W5" s="55" t="s">
        <v>57</v>
      </c>
      <c r="X5" s="60" t="s">
        <v>51</v>
      </c>
      <c r="Y5" s="55" t="s">
        <v>75</v>
      </c>
      <c r="Z5" s="60" t="s">
        <v>51</v>
      </c>
      <c r="AA5" s="55" t="s">
        <v>75</v>
      </c>
      <c r="AB5" s="60" t="s">
        <v>51</v>
      </c>
      <c r="AC5" s="55" t="s">
        <v>57</v>
      </c>
      <c r="AD5" s="60" t="s">
        <v>51</v>
      </c>
      <c r="AE5" s="55" t="s">
        <v>57</v>
      </c>
      <c r="AF5" s="60" t="s">
        <v>51</v>
      </c>
      <c r="AG5" s="55" t="s">
        <v>57</v>
      </c>
      <c r="AH5" s="28"/>
    </row>
    <row r="6" spans="1:34" ht="15.75" customHeight="1">
      <c r="A6" s="89" t="s">
        <v>78</v>
      </c>
      <c r="B6" s="75">
        <f>D6++V6+AB6</f>
        <v>4271598</v>
      </c>
      <c r="C6" s="75">
        <f>E6++W6+AC6</f>
        <v>68815</v>
      </c>
      <c r="D6" s="75">
        <f>F6+H6+J6+N6+P6+L6+R6+T6</f>
        <v>4088802</v>
      </c>
      <c r="E6" s="75">
        <f>G6+I6+K6+O6+Q6+M6+S6+U6</f>
        <v>65839</v>
      </c>
      <c r="F6" s="75">
        <v>791191</v>
      </c>
      <c r="G6" s="75">
        <v>1142</v>
      </c>
      <c r="H6" s="75">
        <v>2412869</v>
      </c>
      <c r="I6" s="75">
        <v>49876</v>
      </c>
      <c r="J6" s="75">
        <v>31873</v>
      </c>
      <c r="K6" s="75">
        <v>175</v>
      </c>
      <c r="L6" s="75">
        <v>83</v>
      </c>
      <c r="M6" s="75">
        <v>6</v>
      </c>
      <c r="N6" s="75">
        <v>788771</v>
      </c>
      <c r="O6" s="75">
        <v>14232</v>
      </c>
      <c r="P6" s="75">
        <v>37995</v>
      </c>
      <c r="Q6" s="75">
        <v>58</v>
      </c>
      <c r="R6" s="75">
        <v>22574</v>
      </c>
      <c r="S6" s="75">
        <v>54</v>
      </c>
      <c r="T6" s="75">
        <v>3446</v>
      </c>
      <c r="U6" s="75">
        <v>296</v>
      </c>
      <c r="V6" s="75">
        <f>+X6+Z6</f>
        <v>95175</v>
      </c>
      <c r="W6" s="75">
        <f>+Y6+AA6</f>
        <v>943</v>
      </c>
      <c r="X6" s="75">
        <v>57377</v>
      </c>
      <c r="Y6" s="75">
        <v>142</v>
      </c>
      <c r="Z6" s="75">
        <v>37798</v>
      </c>
      <c r="AA6" s="75">
        <v>801</v>
      </c>
      <c r="AB6" s="75">
        <f>AD6+AF6</f>
        <v>87621</v>
      </c>
      <c r="AC6" s="75">
        <f>AE6+AG6</f>
        <v>2033</v>
      </c>
      <c r="AD6" s="75">
        <v>21545</v>
      </c>
      <c r="AE6" s="75">
        <v>699</v>
      </c>
      <c r="AF6" s="75">
        <v>66076</v>
      </c>
      <c r="AG6" s="75">
        <v>1334</v>
      </c>
      <c r="AH6" s="29"/>
    </row>
    <row r="7" spans="1:34" ht="15.75" customHeight="1">
      <c r="A7" s="89" t="s">
        <v>79</v>
      </c>
      <c r="B7" s="75">
        <v>5192513</v>
      </c>
      <c r="C7" s="75">
        <v>84729</v>
      </c>
      <c r="D7" s="75">
        <v>5002578</v>
      </c>
      <c r="E7" s="75">
        <v>82074</v>
      </c>
      <c r="F7" s="75">
        <v>554100</v>
      </c>
      <c r="G7" s="75">
        <v>765</v>
      </c>
      <c r="H7" s="75">
        <v>3610762</v>
      </c>
      <c r="I7" s="75">
        <v>64798</v>
      </c>
      <c r="J7" s="75">
        <v>49047</v>
      </c>
      <c r="K7" s="75">
        <v>476</v>
      </c>
      <c r="L7" s="75">
        <v>109</v>
      </c>
      <c r="M7" s="75">
        <v>9</v>
      </c>
      <c r="N7" s="75">
        <v>712090</v>
      </c>
      <c r="O7" s="75">
        <v>15411</v>
      </c>
      <c r="P7" s="75">
        <v>42626</v>
      </c>
      <c r="Q7" s="75">
        <v>61</v>
      </c>
      <c r="R7" s="75">
        <v>26902</v>
      </c>
      <c r="S7" s="75">
        <v>64</v>
      </c>
      <c r="T7" s="75">
        <v>6942</v>
      </c>
      <c r="U7" s="75">
        <v>490</v>
      </c>
      <c r="V7" s="75">
        <v>110146</v>
      </c>
      <c r="W7" s="75">
        <v>1057</v>
      </c>
      <c r="X7" s="75">
        <v>66758</v>
      </c>
      <c r="Y7" s="75">
        <v>162</v>
      </c>
      <c r="Z7" s="75">
        <v>43388</v>
      </c>
      <c r="AA7" s="75">
        <v>895</v>
      </c>
      <c r="AB7" s="75">
        <v>79789</v>
      </c>
      <c r="AC7" s="75">
        <v>1598</v>
      </c>
      <c r="AD7" s="76">
        <v>25815</v>
      </c>
      <c r="AE7" s="76">
        <v>684</v>
      </c>
      <c r="AF7" s="75">
        <v>53974</v>
      </c>
      <c r="AG7" s="75">
        <v>914</v>
      </c>
      <c r="AH7" s="29"/>
    </row>
    <row r="8" spans="1:34" ht="15.75" customHeight="1">
      <c r="A8" s="89" t="s">
        <v>88</v>
      </c>
      <c r="B8" s="75">
        <v>7660838</v>
      </c>
      <c r="C8" s="75">
        <v>105000</v>
      </c>
      <c r="D8" s="75">
        <v>7432187</v>
      </c>
      <c r="E8" s="75">
        <v>101610</v>
      </c>
      <c r="F8" s="75">
        <v>1175575</v>
      </c>
      <c r="G8" s="75">
        <v>1296</v>
      </c>
      <c r="H8" s="75">
        <v>5091835</v>
      </c>
      <c r="I8" s="75">
        <v>81089</v>
      </c>
      <c r="J8" s="75">
        <v>82346</v>
      </c>
      <c r="K8" s="75">
        <v>947</v>
      </c>
      <c r="L8" s="75">
        <v>370</v>
      </c>
      <c r="M8" s="75">
        <v>10</v>
      </c>
      <c r="N8" s="75">
        <v>987267</v>
      </c>
      <c r="O8" s="75">
        <v>17405</v>
      </c>
      <c r="P8" s="75">
        <v>54550</v>
      </c>
      <c r="Q8" s="75">
        <v>70</v>
      </c>
      <c r="R8" s="75">
        <v>28899</v>
      </c>
      <c r="S8" s="75">
        <v>65</v>
      </c>
      <c r="T8" s="75">
        <v>11345</v>
      </c>
      <c r="U8" s="75">
        <v>728</v>
      </c>
      <c r="V8" s="75">
        <v>118692</v>
      </c>
      <c r="W8" s="75">
        <v>1101</v>
      </c>
      <c r="X8" s="75">
        <v>66196</v>
      </c>
      <c r="Y8" s="75">
        <v>133</v>
      </c>
      <c r="Z8" s="75">
        <v>52496</v>
      </c>
      <c r="AA8" s="75">
        <v>968</v>
      </c>
      <c r="AB8" s="75">
        <v>109959</v>
      </c>
      <c r="AC8" s="75">
        <v>2289</v>
      </c>
      <c r="AD8" s="76">
        <v>31243</v>
      </c>
      <c r="AE8" s="76">
        <v>801</v>
      </c>
      <c r="AF8" s="75">
        <v>78716</v>
      </c>
      <c r="AG8" s="75">
        <v>1488</v>
      </c>
      <c r="AH8" s="29"/>
    </row>
    <row r="9" spans="1:34" ht="15.75" customHeight="1">
      <c r="A9" s="89" t="s">
        <v>93</v>
      </c>
      <c r="B9" s="75">
        <v>8490624</v>
      </c>
      <c r="C9" s="75">
        <v>172582</v>
      </c>
      <c r="D9" s="75">
        <v>8278883</v>
      </c>
      <c r="E9" s="75">
        <v>169908</v>
      </c>
      <c r="F9" s="75">
        <v>522950</v>
      </c>
      <c r="G9" s="75">
        <v>630</v>
      </c>
      <c r="H9" s="75">
        <v>6714153</v>
      </c>
      <c r="I9" s="75">
        <v>139633</v>
      </c>
      <c r="J9" s="75">
        <v>96170</v>
      </c>
      <c r="K9" s="75">
        <v>1134</v>
      </c>
      <c r="L9" s="75">
        <v>382</v>
      </c>
      <c r="M9" s="75">
        <v>15</v>
      </c>
      <c r="N9" s="75">
        <v>836977</v>
      </c>
      <c r="O9" s="75">
        <v>26873</v>
      </c>
      <c r="P9" s="75">
        <v>59468</v>
      </c>
      <c r="Q9" s="75">
        <v>82</v>
      </c>
      <c r="R9" s="75">
        <v>31144</v>
      </c>
      <c r="S9" s="75">
        <v>63</v>
      </c>
      <c r="T9" s="75">
        <v>17639</v>
      </c>
      <c r="U9" s="75">
        <v>1478</v>
      </c>
      <c r="V9" s="75">
        <v>141341</v>
      </c>
      <c r="W9" s="75">
        <v>1173</v>
      </c>
      <c r="X9" s="75">
        <v>77017</v>
      </c>
      <c r="Y9" s="75">
        <v>140</v>
      </c>
      <c r="Z9" s="75">
        <v>64324</v>
      </c>
      <c r="AA9" s="75">
        <v>1033</v>
      </c>
      <c r="AB9" s="75">
        <v>70400</v>
      </c>
      <c r="AC9" s="75">
        <v>1501</v>
      </c>
      <c r="AD9" s="76">
        <v>36511</v>
      </c>
      <c r="AE9" s="76">
        <v>820</v>
      </c>
      <c r="AF9" s="75">
        <v>33889</v>
      </c>
      <c r="AG9" s="75">
        <v>681</v>
      </c>
      <c r="AH9" s="29"/>
    </row>
    <row r="10" spans="1:34" ht="15.75" customHeight="1">
      <c r="A10" s="89" t="s">
        <v>136</v>
      </c>
      <c r="B10" s="75">
        <v>9596790</v>
      </c>
      <c r="C10" s="75">
        <v>129128</v>
      </c>
      <c r="D10" s="75">
        <v>9357908</v>
      </c>
      <c r="E10" s="75">
        <v>126640</v>
      </c>
      <c r="F10" s="75">
        <v>409353</v>
      </c>
      <c r="G10" s="75">
        <v>347</v>
      </c>
      <c r="H10" s="75">
        <v>7948001</v>
      </c>
      <c r="I10" s="75">
        <v>105229</v>
      </c>
      <c r="J10" s="75">
        <v>85909</v>
      </c>
      <c r="K10" s="75">
        <v>770</v>
      </c>
      <c r="L10" s="75">
        <v>482</v>
      </c>
      <c r="M10" s="75">
        <v>13</v>
      </c>
      <c r="N10" s="75">
        <v>802919</v>
      </c>
      <c r="O10" s="75">
        <v>18756</v>
      </c>
      <c r="P10" s="75">
        <v>62534</v>
      </c>
      <c r="Q10" s="75">
        <v>67</v>
      </c>
      <c r="R10" s="75">
        <v>21335</v>
      </c>
      <c r="S10" s="75">
        <v>51</v>
      </c>
      <c r="T10" s="75">
        <v>27375</v>
      </c>
      <c r="U10" s="75">
        <v>1407</v>
      </c>
      <c r="V10" s="75">
        <v>170711</v>
      </c>
      <c r="W10" s="75">
        <v>1282</v>
      </c>
      <c r="X10" s="75">
        <v>91984</v>
      </c>
      <c r="Y10" s="75">
        <v>158</v>
      </c>
      <c r="Z10" s="75">
        <v>78727</v>
      </c>
      <c r="AA10" s="75">
        <v>1124</v>
      </c>
      <c r="AB10" s="75">
        <v>68171</v>
      </c>
      <c r="AC10" s="75">
        <v>1206</v>
      </c>
      <c r="AD10" s="76">
        <v>45237</v>
      </c>
      <c r="AE10" s="76">
        <v>843</v>
      </c>
      <c r="AF10" s="75">
        <v>22934</v>
      </c>
      <c r="AG10" s="75">
        <v>363</v>
      </c>
      <c r="AH10" s="29"/>
    </row>
    <row r="11" spans="1:34" ht="15.75" customHeight="1">
      <c r="A11" s="89" t="s">
        <v>138</v>
      </c>
      <c r="B11" s="75">
        <v>10534010</v>
      </c>
      <c r="C11" s="75">
        <v>137671</v>
      </c>
      <c r="D11" s="75">
        <v>10282841</v>
      </c>
      <c r="E11" s="75">
        <v>135343</v>
      </c>
      <c r="F11" s="75">
        <v>276188</v>
      </c>
      <c r="G11" s="75">
        <v>213</v>
      </c>
      <c r="H11" s="75">
        <v>9007851</v>
      </c>
      <c r="I11" s="75">
        <v>113301</v>
      </c>
      <c r="J11" s="75">
        <v>105705</v>
      </c>
      <c r="K11" s="75">
        <v>846</v>
      </c>
      <c r="L11" s="75">
        <v>646</v>
      </c>
      <c r="M11" s="75">
        <v>14</v>
      </c>
      <c r="N11" s="75">
        <v>760035</v>
      </c>
      <c r="O11" s="75">
        <v>19056</v>
      </c>
      <c r="P11" s="75">
        <v>64127</v>
      </c>
      <c r="Q11" s="75">
        <v>70</v>
      </c>
      <c r="R11" s="75">
        <v>29640</v>
      </c>
      <c r="S11" s="75">
        <v>54</v>
      </c>
      <c r="T11" s="75">
        <v>38649</v>
      </c>
      <c r="U11" s="75">
        <v>1789</v>
      </c>
      <c r="V11" s="75">
        <v>183920</v>
      </c>
      <c r="W11" s="75">
        <v>1249</v>
      </c>
      <c r="X11" s="75">
        <v>92075</v>
      </c>
      <c r="Y11" s="75">
        <v>130</v>
      </c>
      <c r="Z11" s="75">
        <v>91845</v>
      </c>
      <c r="AA11" s="75">
        <v>1119</v>
      </c>
      <c r="AB11" s="75">
        <v>67249</v>
      </c>
      <c r="AC11" s="75">
        <v>1079</v>
      </c>
      <c r="AD11" s="76">
        <v>51420</v>
      </c>
      <c r="AE11" s="76">
        <v>811</v>
      </c>
      <c r="AF11" s="75">
        <v>15829</v>
      </c>
      <c r="AG11" s="75">
        <v>268</v>
      </c>
      <c r="AH11" s="29"/>
    </row>
    <row r="12" spans="1:34" ht="15.75" customHeight="1">
      <c r="A12" s="89" t="s">
        <v>139</v>
      </c>
      <c r="B12" s="209">
        <f>D12++V12+AB12</f>
        <v>11577533</v>
      </c>
      <c r="C12" s="209">
        <f>E12++W12+AC12</f>
        <v>146030</v>
      </c>
      <c r="D12" s="209">
        <f>F12+H12+J12+N12+P12+L12+R12+T12</f>
        <v>11303197</v>
      </c>
      <c r="E12" s="209">
        <f>G12+I12+K12+O12+Q12+M12+S12+U12</f>
        <v>143722</v>
      </c>
      <c r="F12" s="209">
        <v>208807</v>
      </c>
      <c r="G12" s="209">
        <v>160</v>
      </c>
      <c r="H12" s="209">
        <v>10097238</v>
      </c>
      <c r="I12" s="209">
        <v>121078</v>
      </c>
      <c r="J12" s="209">
        <v>104608</v>
      </c>
      <c r="K12" s="209">
        <v>866</v>
      </c>
      <c r="L12" s="209">
        <v>634</v>
      </c>
      <c r="M12" s="209">
        <v>13</v>
      </c>
      <c r="N12" s="209">
        <v>743258</v>
      </c>
      <c r="O12" s="209">
        <v>19211</v>
      </c>
      <c r="P12" s="209">
        <v>70130</v>
      </c>
      <c r="Q12" s="209">
        <v>75</v>
      </c>
      <c r="R12" s="209">
        <v>27102</v>
      </c>
      <c r="S12" s="209">
        <v>68</v>
      </c>
      <c r="T12" s="209">
        <v>51420</v>
      </c>
      <c r="U12" s="209">
        <v>2251</v>
      </c>
      <c r="V12" s="209">
        <f>+X12+Z12</f>
        <v>195470</v>
      </c>
      <c r="W12" s="209">
        <f>+Y12+AA12</f>
        <v>1200</v>
      </c>
      <c r="X12" s="209">
        <v>92491</v>
      </c>
      <c r="Y12" s="209">
        <v>113</v>
      </c>
      <c r="Z12" s="209">
        <v>102979</v>
      </c>
      <c r="AA12" s="209">
        <v>1087</v>
      </c>
      <c r="AB12" s="209">
        <f>AD12+AF12</f>
        <v>78866</v>
      </c>
      <c r="AC12" s="209">
        <f>AE12+AG12</f>
        <v>1108</v>
      </c>
      <c r="AD12" s="210">
        <v>64502</v>
      </c>
      <c r="AE12" s="210">
        <v>880</v>
      </c>
      <c r="AF12" s="209">
        <v>14364</v>
      </c>
      <c r="AG12" s="209">
        <v>228</v>
      </c>
      <c r="AH12" s="29"/>
    </row>
    <row r="13" spans="1:34" ht="15.75" customHeight="1">
      <c r="A13" s="89" t="s">
        <v>144</v>
      </c>
      <c r="B13" s="209">
        <v>12703381</v>
      </c>
      <c r="C13" s="209">
        <v>153859</v>
      </c>
      <c r="D13" s="209">
        <v>12409856</v>
      </c>
      <c r="E13" s="209">
        <v>151784</v>
      </c>
      <c r="F13" s="209">
        <v>172203</v>
      </c>
      <c r="G13" s="209">
        <v>115</v>
      </c>
      <c r="H13" s="209">
        <v>11246782</v>
      </c>
      <c r="I13" s="209">
        <v>128665</v>
      </c>
      <c r="J13" s="209">
        <v>109374</v>
      </c>
      <c r="K13" s="209">
        <v>868</v>
      </c>
      <c r="L13" s="209">
        <v>652</v>
      </c>
      <c r="M13" s="209">
        <v>12</v>
      </c>
      <c r="N13" s="209">
        <v>745528</v>
      </c>
      <c r="O13" s="209">
        <v>19268</v>
      </c>
      <c r="P13" s="209">
        <v>40910</v>
      </c>
      <c r="Q13" s="209">
        <v>38</v>
      </c>
      <c r="R13" s="209">
        <v>26750</v>
      </c>
      <c r="S13" s="209">
        <v>66</v>
      </c>
      <c r="T13" s="209">
        <v>67657</v>
      </c>
      <c r="U13" s="209">
        <v>2752</v>
      </c>
      <c r="V13" s="209">
        <v>222198</v>
      </c>
      <c r="W13" s="209">
        <v>1155</v>
      </c>
      <c r="X13" s="209">
        <v>105744</v>
      </c>
      <c r="Y13" s="209">
        <v>120</v>
      </c>
      <c r="Z13" s="209">
        <v>116454</v>
      </c>
      <c r="AA13" s="209">
        <v>1035</v>
      </c>
      <c r="AB13" s="209">
        <v>71327</v>
      </c>
      <c r="AC13" s="209">
        <v>920</v>
      </c>
      <c r="AD13" s="210">
        <v>57972</v>
      </c>
      <c r="AE13" s="210">
        <v>714</v>
      </c>
      <c r="AF13" s="209">
        <v>13355</v>
      </c>
      <c r="AG13" s="209">
        <v>206</v>
      </c>
      <c r="AH13" s="29"/>
    </row>
    <row r="14" spans="1:34" ht="15.75" customHeight="1">
      <c r="A14" s="89" t="s">
        <v>158</v>
      </c>
      <c r="B14" s="209">
        <v>14054334</v>
      </c>
      <c r="C14" s="209">
        <v>162840</v>
      </c>
      <c r="D14" s="209">
        <v>13743026</v>
      </c>
      <c r="E14" s="209">
        <v>160932</v>
      </c>
      <c r="F14" s="209">
        <v>142468</v>
      </c>
      <c r="G14" s="209">
        <v>98</v>
      </c>
      <c r="H14" s="209">
        <v>12592616</v>
      </c>
      <c r="I14" s="209">
        <v>137077</v>
      </c>
      <c r="J14" s="209">
        <v>125302</v>
      </c>
      <c r="K14" s="209">
        <v>996</v>
      </c>
      <c r="L14" s="209">
        <v>652</v>
      </c>
      <c r="M14" s="209">
        <v>12</v>
      </c>
      <c r="N14" s="209">
        <v>723163</v>
      </c>
      <c r="O14" s="209">
        <v>19315</v>
      </c>
      <c r="P14" s="209">
        <v>44190</v>
      </c>
      <c r="Q14" s="209">
        <v>37</v>
      </c>
      <c r="R14" s="209">
        <v>28034</v>
      </c>
      <c r="S14" s="209">
        <v>75</v>
      </c>
      <c r="T14" s="209">
        <v>86601</v>
      </c>
      <c r="U14" s="209">
        <v>3322</v>
      </c>
      <c r="V14" s="209">
        <v>243444</v>
      </c>
      <c r="W14" s="209">
        <v>1170</v>
      </c>
      <c r="X14" s="209">
        <v>112908</v>
      </c>
      <c r="Y14" s="209">
        <v>130</v>
      </c>
      <c r="Z14" s="209">
        <v>130536</v>
      </c>
      <c r="AA14" s="209">
        <v>1040</v>
      </c>
      <c r="AB14" s="209">
        <v>67864</v>
      </c>
      <c r="AC14" s="209">
        <v>738</v>
      </c>
      <c r="AD14" s="210">
        <v>59677</v>
      </c>
      <c r="AE14" s="210">
        <v>602</v>
      </c>
      <c r="AF14" s="209">
        <v>8187</v>
      </c>
      <c r="AG14" s="209">
        <v>136</v>
      </c>
      <c r="AH14" s="29"/>
    </row>
    <row r="15" spans="1:34" ht="15.75" customHeight="1">
      <c r="A15" s="273" t="s">
        <v>164</v>
      </c>
      <c r="B15" s="275">
        <v>15984883</v>
      </c>
      <c r="C15" s="209">
        <v>173292</v>
      </c>
      <c r="D15" s="275">
        <v>15626307</v>
      </c>
      <c r="E15" s="209">
        <v>171261</v>
      </c>
      <c r="F15" s="209">
        <v>133498</v>
      </c>
      <c r="G15" s="209">
        <v>84</v>
      </c>
      <c r="H15" s="209">
        <v>14466221</v>
      </c>
      <c r="I15" s="209">
        <v>146573</v>
      </c>
      <c r="J15" s="209">
        <v>126384</v>
      </c>
      <c r="K15" s="209">
        <v>1098</v>
      </c>
      <c r="L15" s="209">
        <v>774</v>
      </c>
      <c r="M15" s="209">
        <v>13</v>
      </c>
      <c r="N15" s="209">
        <v>711376</v>
      </c>
      <c r="O15" s="209">
        <v>19241</v>
      </c>
      <c r="P15" s="209">
        <v>54329</v>
      </c>
      <c r="Q15" s="209">
        <v>49</v>
      </c>
      <c r="R15" s="209">
        <v>21514</v>
      </c>
      <c r="S15" s="209">
        <v>75</v>
      </c>
      <c r="T15" s="209">
        <v>112211</v>
      </c>
      <c r="U15" s="209">
        <v>4128</v>
      </c>
      <c r="V15" s="209">
        <v>272432</v>
      </c>
      <c r="W15" s="209">
        <v>1181</v>
      </c>
      <c r="X15" s="209">
        <v>122431</v>
      </c>
      <c r="Y15" s="209">
        <v>127</v>
      </c>
      <c r="Z15" s="209">
        <v>150001</v>
      </c>
      <c r="AA15" s="209">
        <v>1054</v>
      </c>
      <c r="AB15" s="209">
        <v>86144</v>
      </c>
      <c r="AC15" s="209">
        <v>850</v>
      </c>
      <c r="AD15" s="210">
        <v>73307</v>
      </c>
      <c r="AE15" s="210">
        <v>638</v>
      </c>
      <c r="AF15" s="209">
        <v>12837</v>
      </c>
      <c r="AG15" s="209">
        <v>212</v>
      </c>
      <c r="AH15" s="29"/>
    </row>
    <row r="16" spans="1:34" ht="15.75" customHeight="1" hidden="1">
      <c r="A16" s="233" t="s">
        <v>171</v>
      </c>
      <c r="B16" s="264">
        <f aca="true" t="shared" si="0" ref="B16:C27">D16++V16++AB16</f>
        <v>15015668</v>
      </c>
      <c r="C16" s="197">
        <f t="shared" si="0"/>
        <v>167310</v>
      </c>
      <c r="D16" s="264">
        <f aca="true" t="shared" si="1" ref="D16:E28">F16+H16+J16+N16+P16+L16+R16+T16</f>
        <v>14769409</v>
      </c>
      <c r="E16" s="197">
        <f t="shared" si="1"/>
        <v>165877</v>
      </c>
      <c r="F16" s="303">
        <v>45772</v>
      </c>
      <c r="G16" s="303">
        <v>31</v>
      </c>
      <c r="H16" s="197">
        <v>13851988</v>
      </c>
      <c r="I16" s="197">
        <v>142215</v>
      </c>
      <c r="J16" s="197">
        <v>38449</v>
      </c>
      <c r="K16" s="197">
        <v>311</v>
      </c>
      <c r="L16" s="197">
        <v>774</v>
      </c>
      <c r="M16" s="197">
        <v>13</v>
      </c>
      <c r="N16" s="197">
        <v>676749</v>
      </c>
      <c r="O16" s="197">
        <v>19154</v>
      </c>
      <c r="P16" s="197">
        <v>34370</v>
      </c>
      <c r="Q16" s="197">
        <v>32</v>
      </c>
      <c r="R16" s="197">
        <v>10025</v>
      </c>
      <c r="S16" s="197">
        <v>40</v>
      </c>
      <c r="T16" s="197">
        <v>111282</v>
      </c>
      <c r="U16" s="197">
        <v>4081</v>
      </c>
      <c r="V16" s="197">
        <f aca="true" t="shared" si="2" ref="V16:W27">+X16+Z16</f>
        <v>210113</v>
      </c>
      <c r="W16" s="197">
        <f t="shared" si="2"/>
        <v>1079</v>
      </c>
      <c r="X16" s="197">
        <v>65318</v>
      </c>
      <c r="Y16" s="197">
        <v>72</v>
      </c>
      <c r="Z16" s="197">
        <v>144795</v>
      </c>
      <c r="AA16" s="197">
        <v>1007</v>
      </c>
      <c r="AB16" s="197">
        <f aca="true" t="shared" si="3" ref="AB16:AC28">AD16+AF16</f>
        <v>36146</v>
      </c>
      <c r="AC16" s="197">
        <f t="shared" si="3"/>
        <v>354</v>
      </c>
      <c r="AD16" s="198">
        <v>32036</v>
      </c>
      <c r="AE16" s="198">
        <v>284</v>
      </c>
      <c r="AF16" s="197">
        <v>4110</v>
      </c>
      <c r="AG16" s="197">
        <v>70</v>
      </c>
      <c r="AH16" s="29"/>
    </row>
    <row r="17" spans="1:34" ht="15.75" customHeight="1" hidden="1">
      <c r="A17" s="233" t="s">
        <v>172</v>
      </c>
      <c r="B17" s="264">
        <f t="shared" si="0"/>
        <v>15866245</v>
      </c>
      <c r="C17" s="197">
        <f t="shared" si="0"/>
        <v>172521</v>
      </c>
      <c r="D17" s="264">
        <f t="shared" si="1"/>
        <v>15587736</v>
      </c>
      <c r="E17" s="197">
        <f t="shared" si="1"/>
        <v>170790</v>
      </c>
      <c r="F17" s="303">
        <v>127448</v>
      </c>
      <c r="G17" s="303">
        <v>77</v>
      </c>
      <c r="H17" s="197">
        <v>14455746</v>
      </c>
      <c r="I17" s="197">
        <v>146293</v>
      </c>
      <c r="J17" s="197">
        <v>122872</v>
      </c>
      <c r="K17" s="197">
        <v>977</v>
      </c>
      <c r="L17" s="197">
        <v>774</v>
      </c>
      <c r="M17" s="197">
        <v>13</v>
      </c>
      <c r="N17" s="197">
        <v>710827</v>
      </c>
      <c r="O17" s="197">
        <v>19229</v>
      </c>
      <c r="P17" s="197">
        <v>45507</v>
      </c>
      <c r="Q17" s="197">
        <v>43</v>
      </c>
      <c r="R17" s="197">
        <v>12672</v>
      </c>
      <c r="S17" s="197">
        <v>46</v>
      </c>
      <c r="T17" s="197">
        <v>111890</v>
      </c>
      <c r="U17" s="197">
        <v>4112</v>
      </c>
      <c r="V17" s="197">
        <f t="shared" si="2"/>
        <v>220561</v>
      </c>
      <c r="W17" s="197">
        <f t="shared" si="2"/>
        <v>1099</v>
      </c>
      <c r="X17" s="197">
        <v>74077</v>
      </c>
      <c r="Y17" s="197">
        <v>80</v>
      </c>
      <c r="Z17" s="197">
        <v>146484</v>
      </c>
      <c r="AA17" s="197">
        <v>1019</v>
      </c>
      <c r="AB17" s="197">
        <f t="shared" si="3"/>
        <v>57948</v>
      </c>
      <c r="AC17" s="197">
        <f t="shared" si="3"/>
        <v>632</v>
      </c>
      <c r="AD17" s="198">
        <v>45825</v>
      </c>
      <c r="AE17" s="198">
        <v>428</v>
      </c>
      <c r="AF17" s="197">
        <v>12123</v>
      </c>
      <c r="AG17" s="197">
        <v>204</v>
      </c>
      <c r="AH17" s="29"/>
    </row>
    <row r="18" spans="1:34" ht="15.75" customHeight="1" hidden="1">
      <c r="A18" s="233" t="s">
        <v>173</v>
      </c>
      <c r="B18" s="264">
        <f t="shared" si="0"/>
        <v>15910353</v>
      </c>
      <c r="C18" s="197">
        <f t="shared" si="0"/>
        <v>172774</v>
      </c>
      <c r="D18" s="264">
        <f t="shared" si="1"/>
        <v>15601895</v>
      </c>
      <c r="E18" s="197">
        <f t="shared" si="1"/>
        <v>170924</v>
      </c>
      <c r="F18" s="303">
        <v>127448</v>
      </c>
      <c r="G18" s="303">
        <v>77</v>
      </c>
      <c r="H18" s="197">
        <v>14461005</v>
      </c>
      <c r="I18" s="197">
        <v>146375</v>
      </c>
      <c r="J18" s="197">
        <v>124508</v>
      </c>
      <c r="K18" s="197">
        <v>1006</v>
      </c>
      <c r="L18" s="197">
        <v>774</v>
      </c>
      <c r="M18" s="197">
        <v>13</v>
      </c>
      <c r="N18" s="197">
        <v>711376</v>
      </c>
      <c r="O18" s="197">
        <v>19232</v>
      </c>
      <c r="P18" s="197">
        <v>48325</v>
      </c>
      <c r="Q18" s="197">
        <v>45</v>
      </c>
      <c r="R18" s="197">
        <v>16272</v>
      </c>
      <c r="S18" s="197">
        <v>57</v>
      </c>
      <c r="T18" s="197">
        <v>112187</v>
      </c>
      <c r="U18" s="197">
        <v>4119</v>
      </c>
      <c r="V18" s="197">
        <f t="shared" si="2"/>
        <v>237653</v>
      </c>
      <c r="W18" s="197">
        <f t="shared" si="2"/>
        <v>1125</v>
      </c>
      <c r="X18" s="197">
        <v>89858</v>
      </c>
      <c r="Y18" s="197">
        <v>96</v>
      </c>
      <c r="Z18" s="197">
        <v>147795</v>
      </c>
      <c r="AA18" s="197">
        <v>1029</v>
      </c>
      <c r="AB18" s="197">
        <f t="shared" si="3"/>
        <v>70805</v>
      </c>
      <c r="AC18" s="197">
        <f t="shared" si="3"/>
        <v>725</v>
      </c>
      <c r="AD18" s="198">
        <v>58053</v>
      </c>
      <c r="AE18" s="198">
        <v>517</v>
      </c>
      <c r="AF18" s="197">
        <v>12752</v>
      </c>
      <c r="AG18" s="197">
        <v>208</v>
      </c>
      <c r="AH18" s="29"/>
    </row>
    <row r="19" spans="1:34" ht="15.75" customHeight="1" hidden="1">
      <c r="A19" s="233" t="s">
        <v>174</v>
      </c>
      <c r="B19" s="264">
        <f t="shared" si="0"/>
        <v>15932071</v>
      </c>
      <c r="C19" s="197">
        <f t="shared" si="0"/>
        <v>172945</v>
      </c>
      <c r="D19" s="264">
        <f t="shared" si="1"/>
        <v>15613769</v>
      </c>
      <c r="E19" s="197">
        <f t="shared" si="1"/>
        <v>171036</v>
      </c>
      <c r="F19" s="303">
        <v>131862</v>
      </c>
      <c r="G19" s="303">
        <v>79</v>
      </c>
      <c r="H19" s="197">
        <v>14463745</v>
      </c>
      <c r="I19" s="197">
        <v>146436</v>
      </c>
      <c r="J19" s="197">
        <v>125645</v>
      </c>
      <c r="K19" s="197">
        <v>1037</v>
      </c>
      <c r="L19" s="197">
        <v>774</v>
      </c>
      <c r="M19" s="197">
        <v>13</v>
      </c>
      <c r="N19" s="197">
        <v>711343</v>
      </c>
      <c r="O19" s="197">
        <v>19236</v>
      </c>
      <c r="P19" s="197">
        <v>49627</v>
      </c>
      <c r="Q19" s="197">
        <v>46</v>
      </c>
      <c r="R19" s="197">
        <v>18570</v>
      </c>
      <c r="S19" s="197">
        <v>64</v>
      </c>
      <c r="T19" s="197">
        <v>112203</v>
      </c>
      <c r="U19" s="197">
        <v>4125</v>
      </c>
      <c r="V19" s="197">
        <f t="shared" si="2"/>
        <v>242477</v>
      </c>
      <c r="W19" s="197">
        <f t="shared" si="2"/>
        <v>1136</v>
      </c>
      <c r="X19" s="197">
        <v>94327</v>
      </c>
      <c r="Y19" s="197">
        <v>102</v>
      </c>
      <c r="Z19" s="197">
        <v>148150</v>
      </c>
      <c r="AA19" s="197">
        <v>1034</v>
      </c>
      <c r="AB19" s="197">
        <f t="shared" si="3"/>
        <v>75825</v>
      </c>
      <c r="AC19" s="197">
        <f t="shared" si="3"/>
        <v>773</v>
      </c>
      <c r="AD19" s="198">
        <v>63048</v>
      </c>
      <c r="AE19" s="198">
        <v>563</v>
      </c>
      <c r="AF19" s="197">
        <v>12777</v>
      </c>
      <c r="AG19" s="197">
        <v>210</v>
      </c>
      <c r="AH19" s="29"/>
    </row>
    <row r="20" spans="1:34" ht="15.75" customHeight="1" hidden="1">
      <c r="A20" s="233" t="s">
        <v>176</v>
      </c>
      <c r="B20" s="264">
        <f t="shared" si="0"/>
        <v>15968078</v>
      </c>
      <c r="C20" s="197">
        <f t="shared" si="0"/>
        <v>173102</v>
      </c>
      <c r="D20" s="264">
        <f t="shared" si="1"/>
        <v>15620695</v>
      </c>
      <c r="E20" s="197">
        <f t="shared" si="1"/>
        <v>171110</v>
      </c>
      <c r="F20" s="303">
        <v>133386</v>
      </c>
      <c r="G20" s="303">
        <v>82</v>
      </c>
      <c r="H20" s="197">
        <v>14464826</v>
      </c>
      <c r="I20" s="197">
        <v>146479</v>
      </c>
      <c r="J20" s="197">
        <v>126228</v>
      </c>
      <c r="K20" s="197">
        <v>1055</v>
      </c>
      <c r="L20" s="197">
        <v>774</v>
      </c>
      <c r="M20" s="197">
        <v>13</v>
      </c>
      <c r="N20" s="197">
        <v>711342</v>
      </c>
      <c r="O20" s="197">
        <v>19238</v>
      </c>
      <c r="P20" s="197">
        <v>51157</v>
      </c>
      <c r="Q20" s="197">
        <v>47</v>
      </c>
      <c r="R20" s="197">
        <v>20779</v>
      </c>
      <c r="S20" s="197">
        <v>69</v>
      </c>
      <c r="T20" s="197">
        <v>112203</v>
      </c>
      <c r="U20" s="197">
        <v>4127</v>
      </c>
      <c r="V20" s="197">
        <f t="shared" si="2"/>
        <v>263243</v>
      </c>
      <c r="W20" s="197">
        <f t="shared" si="2"/>
        <v>1166</v>
      </c>
      <c r="X20" s="197">
        <v>113558</v>
      </c>
      <c r="Y20" s="197">
        <v>119</v>
      </c>
      <c r="Z20" s="197">
        <v>149685</v>
      </c>
      <c r="AA20" s="197">
        <v>1047</v>
      </c>
      <c r="AB20" s="197">
        <f t="shared" si="3"/>
        <v>84140</v>
      </c>
      <c r="AC20" s="197">
        <f t="shared" si="3"/>
        <v>826</v>
      </c>
      <c r="AD20" s="198">
        <v>71303</v>
      </c>
      <c r="AE20" s="198">
        <v>614</v>
      </c>
      <c r="AF20" s="197">
        <v>12837</v>
      </c>
      <c r="AG20" s="197">
        <v>212</v>
      </c>
      <c r="AH20" s="29"/>
    </row>
    <row r="21" spans="1:34" ht="15.75" customHeight="1" hidden="1">
      <c r="A21" s="233" t="s">
        <v>178</v>
      </c>
      <c r="B21" s="264">
        <f t="shared" si="0"/>
        <v>15984883</v>
      </c>
      <c r="C21" s="197">
        <f t="shared" si="0"/>
        <v>173292</v>
      </c>
      <c r="D21" s="264">
        <f t="shared" si="1"/>
        <v>15626307</v>
      </c>
      <c r="E21" s="197">
        <f t="shared" si="1"/>
        <v>171261</v>
      </c>
      <c r="F21" s="303">
        <v>133498</v>
      </c>
      <c r="G21" s="303">
        <v>84</v>
      </c>
      <c r="H21" s="197">
        <v>14466221</v>
      </c>
      <c r="I21" s="197">
        <v>146573</v>
      </c>
      <c r="J21" s="197">
        <v>126384</v>
      </c>
      <c r="K21" s="197">
        <v>1098</v>
      </c>
      <c r="L21" s="197">
        <v>774</v>
      </c>
      <c r="M21" s="197">
        <v>13</v>
      </c>
      <c r="N21" s="197">
        <v>711376</v>
      </c>
      <c r="O21" s="197">
        <v>19241</v>
      </c>
      <c r="P21" s="197">
        <v>54329</v>
      </c>
      <c r="Q21" s="197">
        <v>49</v>
      </c>
      <c r="R21" s="197">
        <v>21514</v>
      </c>
      <c r="S21" s="197">
        <v>75</v>
      </c>
      <c r="T21" s="197">
        <v>112211</v>
      </c>
      <c r="U21" s="197">
        <v>4128</v>
      </c>
      <c r="V21" s="197">
        <f t="shared" si="2"/>
        <v>272432</v>
      </c>
      <c r="W21" s="197">
        <f t="shared" si="2"/>
        <v>1181</v>
      </c>
      <c r="X21" s="197">
        <v>122431</v>
      </c>
      <c r="Y21" s="197">
        <v>127</v>
      </c>
      <c r="Z21" s="197">
        <v>150001</v>
      </c>
      <c r="AA21" s="197">
        <v>1054</v>
      </c>
      <c r="AB21" s="197">
        <f t="shared" si="3"/>
        <v>86144</v>
      </c>
      <c r="AC21" s="197">
        <f t="shared" si="3"/>
        <v>850</v>
      </c>
      <c r="AD21" s="198">
        <v>73307</v>
      </c>
      <c r="AE21" s="198">
        <v>638</v>
      </c>
      <c r="AF21" s="197">
        <v>12837</v>
      </c>
      <c r="AG21" s="197">
        <v>212</v>
      </c>
      <c r="AH21" s="29"/>
    </row>
    <row r="22" spans="1:34" ht="15.75" customHeight="1">
      <c r="A22" s="273" t="s">
        <v>181</v>
      </c>
      <c r="B22" s="275">
        <f>B34</f>
        <v>18310673</v>
      </c>
      <c r="C22" s="275">
        <f aca="true" t="shared" si="4" ref="C22:AG22">C34</f>
        <v>184350</v>
      </c>
      <c r="D22" s="275">
        <f t="shared" si="4"/>
        <v>17943011</v>
      </c>
      <c r="E22" s="275">
        <f t="shared" si="4"/>
        <v>182380</v>
      </c>
      <c r="F22" s="275">
        <f t="shared" si="4"/>
        <v>149489</v>
      </c>
      <c r="G22" s="275">
        <f t="shared" si="4"/>
        <v>97</v>
      </c>
      <c r="H22" s="275">
        <f t="shared" si="4"/>
        <v>16702254</v>
      </c>
      <c r="I22" s="275">
        <f t="shared" si="4"/>
        <v>157064</v>
      </c>
      <c r="J22" s="275">
        <f t="shared" si="4"/>
        <v>135708</v>
      </c>
      <c r="K22" s="275">
        <f t="shared" si="4"/>
        <v>1227</v>
      </c>
      <c r="L22" s="275">
        <f t="shared" si="4"/>
        <v>896</v>
      </c>
      <c r="M22" s="275">
        <f t="shared" si="4"/>
        <v>14</v>
      </c>
      <c r="N22" s="275">
        <f t="shared" si="4"/>
        <v>745121</v>
      </c>
      <c r="O22" s="275">
        <f t="shared" si="4"/>
        <v>19175</v>
      </c>
      <c r="P22" s="275">
        <f t="shared" si="4"/>
        <v>46028</v>
      </c>
      <c r="Q22" s="275">
        <f t="shared" si="4"/>
        <v>35</v>
      </c>
      <c r="R22" s="275">
        <f t="shared" si="4"/>
        <v>25577</v>
      </c>
      <c r="S22" s="275">
        <f t="shared" si="4"/>
        <v>100</v>
      </c>
      <c r="T22" s="275">
        <f t="shared" si="4"/>
        <v>137938</v>
      </c>
      <c r="U22" s="275">
        <f t="shared" si="4"/>
        <v>4668</v>
      </c>
      <c r="V22" s="275">
        <f t="shared" si="4"/>
        <v>282591</v>
      </c>
      <c r="W22" s="275">
        <f t="shared" si="4"/>
        <v>1152</v>
      </c>
      <c r="X22" s="275">
        <f t="shared" si="4"/>
        <v>115968</v>
      </c>
      <c r="Y22" s="275">
        <f t="shared" si="4"/>
        <v>119</v>
      </c>
      <c r="Z22" s="275">
        <f t="shared" si="4"/>
        <v>166623</v>
      </c>
      <c r="AA22" s="275">
        <f t="shared" si="4"/>
        <v>1033</v>
      </c>
      <c r="AB22" s="275">
        <f t="shared" si="4"/>
        <v>85071</v>
      </c>
      <c r="AC22" s="275">
        <f t="shared" si="4"/>
        <v>818</v>
      </c>
      <c r="AD22" s="275">
        <f t="shared" si="4"/>
        <v>72326</v>
      </c>
      <c r="AE22" s="275">
        <f t="shared" si="4"/>
        <v>614</v>
      </c>
      <c r="AF22" s="275">
        <f t="shared" si="4"/>
        <v>12745</v>
      </c>
      <c r="AG22" s="275">
        <f t="shared" si="4"/>
        <v>204</v>
      </c>
      <c r="AH22" s="29"/>
    </row>
    <row r="23" spans="1:34" ht="15.75" customHeight="1" hidden="1">
      <c r="A23" s="233" t="s">
        <v>182</v>
      </c>
      <c r="B23" s="264">
        <f t="shared" si="0"/>
        <v>8203946</v>
      </c>
      <c r="C23" s="197">
        <f t="shared" si="0"/>
        <v>86708</v>
      </c>
      <c r="D23" s="264">
        <f t="shared" si="1"/>
        <v>8189604</v>
      </c>
      <c r="E23" s="197">
        <f t="shared" si="1"/>
        <v>86663</v>
      </c>
      <c r="F23" s="303">
        <v>2924</v>
      </c>
      <c r="G23" s="303">
        <v>3</v>
      </c>
      <c r="H23" s="197">
        <v>7778535</v>
      </c>
      <c r="I23" s="197">
        <v>74936</v>
      </c>
      <c r="J23" s="197">
        <v>1039</v>
      </c>
      <c r="K23" s="197">
        <v>10</v>
      </c>
      <c r="L23" s="197">
        <v>448</v>
      </c>
      <c r="M23" s="197">
        <v>7</v>
      </c>
      <c r="N23" s="197">
        <v>334875</v>
      </c>
      <c r="O23" s="197">
        <v>9526</v>
      </c>
      <c r="P23" s="197">
        <v>3051</v>
      </c>
      <c r="Q23" s="197">
        <v>2</v>
      </c>
      <c r="R23" s="197">
        <v>4401</v>
      </c>
      <c r="S23" s="197">
        <v>7</v>
      </c>
      <c r="T23" s="197">
        <v>64331</v>
      </c>
      <c r="U23" s="197">
        <v>2172</v>
      </c>
      <c r="V23" s="197">
        <f t="shared" si="2"/>
        <v>11033</v>
      </c>
      <c r="W23" s="197">
        <f t="shared" si="2"/>
        <v>16</v>
      </c>
      <c r="X23" s="197">
        <v>10203</v>
      </c>
      <c r="Y23" s="197">
        <v>11</v>
      </c>
      <c r="Z23" s="197">
        <v>830</v>
      </c>
      <c r="AA23" s="197">
        <v>5</v>
      </c>
      <c r="AB23" s="197">
        <f t="shared" si="3"/>
        <v>3309</v>
      </c>
      <c r="AC23" s="197">
        <f t="shared" si="3"/>
        <v>29</v>
      </c>
      <c r="AD23" s="198">
        <v>2577</v>
      </c>
      <c r="AE23" s="198">
        <v>21</v>
      </c>
      <c r="AF23" s="197">
        <v>732</v>
      </c>
      <c r="AG23" s="197">
        <v>8</v>
      </c>
      <c r="AH23" s="29"/>
    </row>
    <row r="24" spans="1:34" ht="15.75" customHeight="1" hidden="1">
      <c r="A24" s="233" t="s">
        <v>183</v>
      </c>
      <c r="B24" s="264">
        <f t="shared" si="0"/>
        <v>8529517</v>
      </c>
      <c r="C24" s="197">
        <f t="shared" si="0"/>
        <v>88637</v>
      </c>
      <c r="D24" s="264">
        <f t="shared" si="1"/>
        <v>8503724</v>
      </c>
      <c r="E24" s="197">
        <f t="shared" si="1"/>
        <v>88501</v>
      </c>
      <c r="F24" s="303">
        <v>40919</v>
      </c>
      <c r="G24" s="303">
        <v>24</v>
      </c>
      <c r="H24" s="197">
        <v>7991991</v>
      </c>
      <c r="I24" s="197">
        <v>76356</v>
      </c>
      <c r="J24" s="197">
        <v>39935</v>
      </c>
      <c r="K24" s="197">
        <v>304</v>
      </c>
      <c r="L24" s="197">
        <v>448</v>
      </c>
      <c r="M24" s="197">
        <v>7</v>
      </c>
      <c r="N24" s="197">
        <v>355331</v>
      </c>
      <c r="O24" s="197">
        <v>9579</v>
      </c>
      <c r="P24" s="197">
        <v>4807</v>
      </c>
      <c r="Q24" s="197">
        <v>3</v>
      </c>
      <c r="R24" s="197">
        <v>4808</v>
      </c>
      <c r="S24" s="197">
        <v>13</v>
      </c>
      <c r="T24" s="197">
        <v>65485</v>
      </c>
      <c r="U24" s="197">
        <v>2215</v>
      </c>
      <c r="V24" s="197">
        <f t="shared" si="2"/>
        <v>15291</v>
      </c>
      <c r="W24" s="197">
        <f t="shared" si="2"/>
        <v>25</v>
      </c>
      <c r="X24" s="197">
        <v>13784</v>
      </c>
      <c r="Y24" s="197">
        <v>15</v>
      </c>
      <c r="Z24" s="197">
        <v>1507</v>
      </c>
      <c r="AA24" s="197">
        <v>10</v>
      </c>
      <c r="AB24" s="197">
        <f t="shared" si="3"/>
        <v>10502</v>
      </c>
      <c r="AC24" s="197">
        <f t="shared" si="3"/>
        <v>111</v>
      </c>
      <c r="AD24" s="198">
        <v>7294</v>
      </c>
      <c r="AE24" s="198">
        <v>67</v>
      </c>
      <c r="AF24" s="197">
        <v>3208</v>
      </c>
      <c r="AG24" s="197">
        <v>44</v>
      </c>
      <c r="AH24" s="29"/>
    </row>
    <row r="25" spans="1:34" ht="15.75" customHeight="1" hidden="1">
      <c r="A25" s="233" t="s">
        <v>186</v>
      </c>
      <c r="B25" s="264">
        <f t="shared" si="0"/>
        <v>8564866</v>
      </c>
      <c r="C25" s="197">
        <f t="shared" si="0"/>
        <v>88839</v>
      </c>
      <c r="D25" s="264">
        <f t="shared" si="1"/>
        <v>8517514</v>
      </c>
      <c r="E25" s="197">
        <f t="shared" si="1"/>
        <v>88615</v>
      </c>
      <c r="F25" s="303">
        <v>43320</v>
      </c>
      <c r="G25" s="303">
        <v>25</v>
      </c>
      <c r="H25" s="197">
        <v>7996666</v>
      </c>
      <c r="I25" s="197">
        <v>76421</v>
      </c>
      <c r="J25" s="197">
        <v>41669</v>
      </c>
      <c r="K25" s="197">
        <v>316</v>
      </c>
      <c r="L25" s="197">
        <v>448</v>
      </c>
      <c r="M25" s="197">
        <v>7</v>
      </c>
      <c r="N25" s="197">
        <v>357644</v>
      </c>
      <c r="O25" s="197">
        <v>9585</v>
      </c>
      <c r="P25" s="197">
        <v>4807</v>
      </c>
      <c r="Q25" s="197">
        <v>3</v>
      </c>
      <c r="R25" s="197">
        <v>7324</v>
      </c>
      <c r="S25" s="197">
        <v>28</v>
      </c>
      <c r="T25" s="197">
        <v>65636</v>
      </c>
      <c r="U25" s="197">
        <v>2230</v>
      </c>
      <c r="V25" s="197">
        <f t="shared" si="2"/>
        <v>29357</v>
      </c>
      <c r="W25" s="197">
        <f t="shared" si="2"/>
        <v>49</v>
      </c>
      <c r="X25" s="197">
        <v>25096</v>
      </c>
      <c r="Y25" s="197">
        <v>26</v>
      </c>
      <c r="Z25" s="197">
        <v>4261</v>
      </c>
      <c r="AA25" s="197">
        <v>23</v>
      </c>
      <c r="AB25" s="197">
        <f t="shared" si="3"/>
        <v>17995</v>
      </c>
      <c r="AC25" s="197">
        <f t="shared" si="3"/>
        <v>175</v>
      </c>
      <c r="AD25" s="198">
        <v>14787</v>
      </c>
      <c r="AE25" s="198">
        <v>131</v>
      </c>
      <c r="AF25" s="197">
        <v>3208</v>
      </c>
      <c r="AG25" s="197">
        <v>44</v>
      </c>
      <c r="AH25" s="29"/>
    </row>
    <row r="26" spans="1:34" ht="15.75" customHeight="1" hidden="1">
      <c r="A26" s="233" t="s">
        <v>187</v>
      </c>
      <c r="B26" s="264">
        <f t="shared" si="0"/>
        <v>8584202</v>
      </c>
      <c r="C26" s="197">
        <f t="shared" si="0"/>
        <v>88945</v>
      </c>
      <c r="D26" s="264">
        <f t="shared" si="1"/>
        <v>8521287</v>
      </c>
      <c r="E26" s="197">
        <f t="shared" si="1"/>
        <v>88664</v>
      </c>
      <c r="F26" s="303">
        <v>43320</v>
      </c>
      <c r="G26" s="303">
        <v>25</v>
      </c>
      <c r="H26" s="197">
        <v>7998447</v>
      </c>
      <c r="I26" s="197">
        <v>76448</v>
      </c>
      <c r="J26" s="197">
        <v>41969</v>
      </c>
      <c r="K26" s="197">
        <v>327</v>
      </c>
      <c r="L26" s="197">
        <v>448</v>
      </c>
      <c r="M26" s="197">
        <v>7</v>
      </c>
      <c r="N26" s="197">
        <v>357726</v>
      </c>
      <c r="O26" s="197">
        <v>9586</v>
      </c>
      <c r="P26" s="197">
        <v>5898</v>
      </c>
      <c r="Q26" s="197">
        <v>7</v>
      </c>
      <c r="R26" s="197">
        <v>7820</v>
      </c>
      <c r="S26" s="197">
        <v>33</v>
      </c>
      <c r="T26" s="197">
        <v>65659</v>
      </c>
      <c r="U26" s="197">
        <v>2231</v>
      </c>
      <c r="V26" s="197">
        <f t="shared" si="2"/>
        <v>42370</v>
      </c>
      <c r="W26" s="197">
        <f t="shared" si="2"/>
        <v>68</v>
      </c>
      <c r="X26" s="197">
        <v>36349</v>
      </c>
      <c r="Y26" s="197">
        <v>37</v>
      </c>
      <c r="Z26" s="197">
        <v>6021</v>
      </c>
      <c r="AA26" s="197">
        <v>31</v>
      </c>
      <c r="AB26" s="197">
        <f t="shared" si="3"/>
        <v>20545</v>
      </c>
      <c r="AC26" s="197">
        <f t="shared" si="3"/>
        <v>213</v>
      </c>
      <c r="AD26" s="198">
        <v>17331</v>
      </c>
      <c r="AE26" s="198">
        <v>167</v>
      </c>
      <c r="AF26" s="197">
        <v>3214</v>
      </c>
      <c r="AG26" s="197">
        <v>46</v>
      </c>
      <c r="AH26" s="29"/>
    </row>
    <row r="27" spans="1:34" ht="15.75" customHeight="1" hidden="1">
      <c r="A27" s="233" t="s">
        <v>188</v>
      </c>
      <c r="B27" s="264">
        <f t="shared" si="0"/>
        <v>8603668</v>
      </c>
      <c r="C27" s="197">
        <f t="shared" si="0"/>
        <v>89024</v>
      </c>
      <c r="D27" s="264">
        <f t="shared" si="1"/>
        <v>8526554</v>
      </c>
      <c r="E27" s="197">
        <f t="shared" si="1"/>
        <v>88693</v>
      </c>
      <c r="F27" s="303">
        <v>44823</v>
      </c>
      <c r="G27" s="303">
        <v>26</v>
      </c>
      <c r="H27" s="197">
        <v>7999016</v>
      </c>
      <c r="I27" s="197">
        <v>76461</v>
      </c>
      <c r="J27" s="197">
        <v>42236</v>
      </c>
      <c r="K27" s="197">
        <v>330</v>
      </c>
      <c r="L27" s="197">
        <v>448</v>
      </c>
      <c r="M27" s="197">
        <v>7</v>
      </c>
      <c r="N27" s="197">
        <v>357765</v>
      </c>
      <c r="O27" s="197">
        <v>9587</v>
      </c>
      <c r="P27" s="197">
        <v>8399</v>
      </c>
      <c r="Q27" s="197">
        <v>9</v>
      </c>
      <c r="R27" s="197">
        <v>8200</v>
      </c>
      <c r="S27" s="197">
        <v>41</v>
      </c>
      <c r="T27" s="197">
        <v>65667</v>
      </c>
      <c r="U27" s="197">
        <v>2232</v>
      </c>
      <c r="V27" s="197">
        <f t="shared" si="2"/>
        <v>53755</v>
      </c>
      <c r="W27" s="197">
        <f t="shared" si="2"/>
        <v>88</v>
      </c>
      <c r="X27" s="197">
        <v>46220</v>
      </c>
      <c r="Y27" s="197">
        <v>48</v>
      </c>
      <c r="Z27" s="197">
        <v>7535</v>
      </c>
      <c r="AA27" s="197">
        <v>40</v>
      </c>
      <c r="AB27" s="197">
        <f t="shared" si="3"/>
        <v>23359</v>
      </c>
      <c r="AC27" s="197">
        <f t="shared" si="3"/>
        <v>243</v>
      </c>
      <c r="AD27" s="198">
        <v>20145</v>
      </c>
      <c r="AE27" s="198">
        <v>197</v>
      </c>
      <c r="AF27" s="197">
        <v>3214</v>
      </c>
      <c r="AG27" s="197">
        <v>46</v>
      </c>
      <c r="AH27" s="29"/>
    </row>
    <row r="28" spans="1:34" ht="15.75" customHeight="1" hidden="1">
      <c r="A28" s="233" t="s">
        <v>189</v>
      </c>
      <c r="B28" s="264">
        <f aca="true" t="shared" si="5" ref="B28:C30">D28+V28+AB28</f>
        <v>8625345</v>
      </c>
      <c r="C28" s="197">
        <f t="shared" si="5"/>
        <v>89127</v>
      </c>
      <c r="D28" s="264">
        <f t="shared" si="1"/>
        <v>8536075</v>
      </c>
      <c r="E28" s="197">
        <f t="shared" si="1"/>
        <v>88747</v>
      </c>
      <c r="F28" s="303">
        <v>44823</v>
      </c>
      <c r="G28" s="303">
        <v>26</v>
      </c>
      <c r="H28" s="197">
        <v>7999546</v>
      </c>
      <c r="I28" s="197">
        <v>76496</v>
      </c>
      <c r="J28" s="197">
        <v>42506</v>
      </c>
      <c r="K28" s="197">
        <v>334</v>
      </c>
      <c r="L28" s="197">
        <v>448</v>
      </c>
      <c r="M28" s="197">
        <v>7</v>
      </c>
      <c r="N28" s="197">
        <v>358349</v>
      </c>
      <c r="O28" s="197">
        <v>9589</v>
      </c>
      <c r="P28" s="197">
        <v>13414</v>
      </c>
      <c r="Q28" s="197">
        <v>12</v>
      </c>
      <c r="R28" s="197">
        <v>11277</v>
      </c>
      <c r="S28" s="197">
        <v>46</v>
      </c>
      <c r="T28" s="197">
        <v>65712</v>
      </c>
      <c r="U28" s="197">
        <v>2237</v>
      </c>
      <c r="V28" s="197">
        <f aca="true" t="shared" si="6" ref="V28:W30">+X28+Z28</f>
        <v>61815</v>
      </c>
      <c r="W28" s="197">
        <f t="shared" si="6"/>
        <v>100</v>
      </c>
      <c r="X28" s="197">
        <v>53187</v>
      </c>
      <c r="Y28" s="197">
        <v>54</v>
      </c>
      <c r="Z28" s="197">
        <v>8628</v>
      </c>
      <c r="AA28" s="197">
        <v>46</v>
      </c>
      <c r="AB28" s="197">
        <f t="shared" si="3"/>
        <v>27455</v>
      </c>
      <c r="AC28" s="197">
        <f t="shared" si="3"/>
        <v>280</v>
      </c>
      <c r="AD28" s="198">
        <v>24228</v>
      </c>
      <c r="AE28" s="198">
        <v>232</v>
      </c>
      <c r="AF28" s="197">
        <v>3227</v>
      </c>
      <c r="AG28" s="197">
        <v>48</v>
      </c>
      <c r="AH28" s="29"/>
    </row>
    <row r="29" spans="1:34" ht="15.75" customHeight="1" hidden="1">
      <c r="A29" s="233" t="s">
        <v>192</v>
      </c>
      <c r="B29" s="264">
        <f t="shared" si="5"/>
        <v>17249708</v>
      </c>
      <c r="C29" s="197">
        <f t="shared" si="5"/>
        <v>178194</v>
      </c>
      <c r="D29" s="264">
        <f aca="true" t="shared" si="7" ref="D29:E38">F29+H29+J29+N29+P29+L29+R29+T29</f>
        <v>16988027</v>
      </c>
      <c r="E29" s="197">
        <f t="shared" si="7"/>
        <v>176800</v>
      </c>
      <c r="F29" s="303">
        <v>44823</v>
      </c>
      <c r="G29" s="303">
        <v>26</v>
      </c>
      <c r="H29" s="197">
        <v>16038420</v>
      </c>
      <c r="I29" s="197">
        <v>152673</v>
      </c>
      <c r="J29" s="197">
        <v>43567</v>
      </c>
      <c r="K29" s="197">
        <v>343</v>
      </c>
      <c r="L29" s="197">
        <v>896</v>
      </c>
      <c r="M29" s="197">
        <v>14</v>
      </c>
      <c r="N29" s="197">
        <v>694310</v>
      </c>
      <c r="O29" s="197">
        <v>19080</v>
      </c>
      <c r="P29" s="197">
        <v>17850</v>
      </c>
      <c r="Q29" s="197">
        <v>15</v>
      </c>
      <c r="R29" s="197">
        <v>11878</v>
      </c>
      <c r="S29" s="197">
        <v>51</v>
      </c>
      <c r="T29" s="197">
        <v>136283</v>
      </c>
      <c r="U29" s="197">
        <v>4598</v>
      </c>
      <c r="V29" s="197">
        <f t="shared" si="6"/>
        <v>226572</v>
      </c>
      <c r="W29" s="197">
        <f t="shared" si="6"/>
        <v>1058</v>
      </c>
      <c r="X29" s="197">
        <v>63741</v>
      </c>
      <c r="Y29" s="197">
        <v>65</v>
      </c>
      <c r="Z29" s="197">
        <v>162831</v>
      </c>
      <c r="AA29" s="197">
        <v>993</v>
      </c>
      <c r="AB29" s="197">
        <f>AD29+AF29</f>
        <v>35109</v>
      </c>
      <c r="AC29" s="197">
        <f>AE29+AG29</f>
        <v>336</v>
      </c>
      <c r="AD29" s="198">
        <v>31406</v>
      </c>
      <c r="AE29" s="198">
        <v>284</v>
      </c>
      <c r="AF29" s="197">
        <v>3703</v>
      </c>
      <c r="AG29" s="197">
        <v>52</v>
      </c>
      <c r="AH29" s="29"/>
    </row>
    <row r="30" spans="1:34" ht="15.75" customHeight="1" hidden="1">
      <c r="A30" s="233" t="s">
        <v>197</v>
      </c>
      <c r="B30" s="264">
        <f>D30+V30+AB30</f>
        <v>18198181</v>
      </c>
      <c r="C30" s="197">
        <f t="shared" si="5"/>
        <v>183584</v>
      </c>
      <c r="D30" s="264">
        <f t="shared" si="7"/>
        <v>17898214</v>
      </c>
      <c r="E30" s="197">
        <f t="shared" si="7"/>
        <v>181900</v>
      </c>
      <c r="F30" s="303">
        <v>144986</v>
      </c>
      <c r="G30" s="303">
        <v>85</v>
      </c>
      <c r="H30" s="197">
        <v>16693114</v>
      </c>
      <c r="I30" s="197">
        <v>156803</v>
      </c>
      <c r="J30" s="197">
        <v>133025</v>
      </c>
      <c r="K30" s="197">
        <v>1114</v>
      </c>
      <c r="L30" s="197">
        <v>896</v>
      </c>
      <c r="M30" s="197">
        <v>14</v>
      </c>
      <c r="N30" s="197">
        <v>744254</v>
      </c>
      <c r="O30" s="197">
        <v>19171</v>
      </c>
      <c r="P30" s="197">
        <v>31266</v>
      </c>
      <c r="Q30" s="197">
        <v>24</v>
      </c>
      <c r="R30" s="197">
        <v>13401</v>
      </c>
      <c r="S30" s="197">
        <v>59</v>
      </c>
      <c r="T30" s="197">
        <v>137272</v>
      </c>
      <c r="U30" s="197">
        <v>4630</v>
      </c>
      <c r="V30" s="197">
        <f t="shared" si="6"/>
        <v>242099</v>
      </c>
      <c r="W30" s="197">
        <f t="shared" si="6"/>
        <v>1086</v>
      </c>
      <c r="X30" s="197">
        <v>77919</v>
      </c>
      <c r="Y30" s="197">
        <v>82</v>
      </c>
      <c r="Z30" s="197">
        <v>164180</v>
      </c>
      <c r="AA30" s="197">
        <v>1004</v>
      </c>
      <c r="AB30" s="197">
        <f>AD30+AF30</f>
        <v>57868</v>
      </c>
      <c r="AC30" s="197">
        <f>AE30+AG30</f>
        <v>598</v>
      </c>
      <c r="AD30" s="198">
        <v>46068</v>
      </c>
      <c r="AE30" s="198">
        <v>404</v>
      </c>
      <c r="AF30" s="197">
        <v>11800</v>
      </c>
      <c r="AG30" s="197">
        <v>194</v>
      </c>
      <c r="AH30" s="29"/>
    </row>
    <row r="31" spans="1:34" s="27" customFormat="1" ht="15.75" customHeight="1" hidden="1">
      <c r="A31" s="233" t="s">
        <v>199</v>
      </c>
      <c r="B31" s="264">
        <f>D31+V31+AB31</f>
        <v>18223507</v>
      </c>
      <c r="C31" s="197">
        <f>E31+W31+AC31</f>
        <v>183826</v>
      </c>
      <c r="D31" s="264">
        <f t="shared" si="7"/>
        <v>17910861</v>
      </c>
      <c r="E31" s="197">
        <f t="shared" si="7"/>
        <v>182044</v>
      </c>
      <c r="F31" s="303">
        <v>147433</v>
      </c>
      <c r="G31" s="303">
        <v>88</v>
      </c>
      <c r="H31" s="197">
        <v>16698556</v>
      </c>
      <c r="I31" s="197">
        <v>156879</v>
      </c>
      <c r="J31" s="197">
        <v>134195</v>
      </c>
      <c r="K31" s="197">
        <v>1149</v>
      </c>
      <c r="L31" s="197">
        <v>896</v>
      </c>
      <c r="M31" s="197">
        <v>14</v>
      </c>
      <c r="N31" s="197">
        <v>744217</v>
      </c>
      <c r="O31" s="197">
        <v>19172</v>
      </c>
      <c r="P31" s="197">
        <v>31673</v>
      </c>
      <c r="Q31" s="197">
        <v>26</v>
      </c>
      <c r="R31" s="197">
        <v>16356</v>
      </c>
      <c r="S31" s="197">
        <v>72</v>
      </c>
      <c r="T31" s="197">
        <v>137535</v>
      </c>
      <c r="U31" s="197">
        <v>4644</v>
      </c>
      <c r="V31" s="197">
        <f aca="true" t="shared" si="8" ref="V31:W38">+X31+Z31</f>
        <v>244344</v>
      </c>
      <c r="W31" s="197">
        <f t="shared" si="8"/>
        <v>1092</v>
      </c>
      <c r="X31" s="197">
        <v>79840</v>
      </c>
      <c r="Y31" s="197">
        <v>84</v>
      </c>
      <c r="Z31" s="197">
        <v>164504</v>
      </c>
      <c r="AA31" s="197">
        <v>1008</v>
      </c>
      <c r="AB31" s="197">
        <f aca="true" t="shared" si="9" ref="AB31:AC38">AD31+AF31</f>
        <v>68302</v>
      </c>
      <c r="AC31" s="197">
        <f t="shared" si="9"/>
        <v>690</v>
      </c>
      <c r="AD31" s="198">
        <v>55998</v>
      </c>
      <c r="AE31" s="198">
        <v>488</v>
      </c>
      <c r="AF31" s="197">
        <v>12304</v>
      </c>
      <c r="AG31" s="197">
        <v>202</v>
      </c>
      <c r="AH31" s="29"/>
    </row>
    <row r="32" spans="1:34" s="27" customFormat="1" ht="15.75" customHeight="1" hidden="1">
      <c r="A32" s="233" t="s">
        <v>201</v>
      </c>
      <c r="B32" s="264">
        <f>D32+V32+AB32</f>
        <v>18252982</v>
      </c>
      <c r="C32" s="197">
        <f>E32+W32+AC32</f>
        <v>184019</v>
      </c>
      <c r="D32" s="264">
        <f t="shared" si="7"/>
        <v>17923969</v>
      </c>
      <c r="E32" s="197">
        <f t="shared" si="7"/>
        <v>182177</v>
      </c>
      <c r="F32" s="303">
        <v>149489</v>
      </c>
      <c r="G32" s="303">
        <v>93</v>
      </c>
      <c r="H32" s="197">
        <v>16701044</v>
      </c>
      <c r="I32" s="197">
        <v>156950</v>
      </c>
      <c r="J32" s="197">
        <v>134847</v>
      </c>
      <c r="K32" s="197">
        <v>1176</v>
      </c>
      <c r="L32" s="197">
        <v>896</v>
      </c>
      <c r="M32" s="197">
        <v>14</v>
      </c>
      <c r="N32" s="197">
        <v>744180</v>
      </c>
      <c r="O32" s="197">
        <v>19173</v>
      </c>
      <c r="P32" s="197">
        <v>35163</v>
      </c>
      <c r="Q32" s="197">
        <v>28</v>
      </c>
      <c r="R32" s="197">
        <v>20476</v>
      </c>
      <c r="S32" s="197">
        <v>87</v>
      </c>
      <c r="T32" s="197">
        <v>137874</v>
      </c>
      <c r="U32" s="197">
        <v>4656</v>
      </c>
      <c r="V32" s="197">
        <f t="shared" si="8"/>
        <v>254317</v>
      </c>
      <c r="W32" s="197">
        <f t="shared" si="8"/>
        <v>1106</v>
      </c>
      <c r="X32" s="197">
        <v>89148</v>
      </c>
      <c r="Y32" s="197">
        <v>92</v>
      </c>
      <c r="Z32" s="197">
        <v>165169</v>
      </c>
      <c r="AA32" s="197">
        <v>1014</v>
      </c>
      <c r="AB32" s="197">
        <f t="shared" si="9"/>
        <v>74696</v>
      </c>
      <c r="AC32" s="197">
        <f t="shared" si="9"/>
        <v>736</v>
      </c>
      <c r="AD32" s="198">
        <v>61951</v>
      </c>
      <c r="AE32" s="198">
        <v>532</v>
      </c>
      <c r="AF32" s="197">
        <v>12745</v>
      </c>
      <c r="AG32" s="197">
        <v>204</v>
      </c>
      <c r="AH32" s="29"/>
    </row>
    <row r="33" spans="1:34" s="27" customFormat="1" ht="15.75" customHeight="1" hidden="1">
      <c r="A33" s="233" t="s">
        <v>203</v>
      </c>
      <c r="B33" s="264">
        <f>D33+V33+AB33</f>
        <v>18286226</v>
      </c>
      <c r="C33" s="197">
        <f>E33+W33+AC33</f>
        <v>184183</v>
      </c>
      <c r="D33" s="264">
        <f>F33+H33+J33+N33+P33+L33+R33+T33+1</f>
        <v>17933352</v>
      </c>
      <c r="E33" s="197">
        <f t="shared" si="7"/>
        <v>182269</v>
      </c>
      <c r="F33" s="303">
        <v>152055</v>
      </c>
      <c r="G33" s="303">
        <v>96</v>
      </c>
      <c r="H33" s="197">
        <v>16701526</v>
      </c>
      <c r="I33" s="197">
        <v>156997</v>
      </c>
      <c r="J33" s="197">
        <v>134918</v>
      </c>
      <c r="K33" s="197">
        <v>1203</v>
      </c>
      <c r="L33" s="197">
        <v>896</v>
      </c>
      <c r="M33" s="197">
        <v>14</v>
      </c>
      <c r="N33" s="197">
        <v>744180</v>
      </c>
      <c r="O33" s="197">
        <v>19173</v>
      </c>
      <c r="P33" s="197">
        <v>41005</v>
      </c>
      <c r="Q33" s="197">
        <v>32</v>
      </c>
      <c r="R33" s="197">
        <v>20855</v>
      </c>
      <c r="S33" s="197">
        <v>93</v>
      </c>
      <c r="T33" s="197">
        <v>137916</v>
      </c>
      <c r="U33" s="197">
        <v>4661</v>
      </c>
      <c r="V33" s="197">
        <f t="shared" si="8"/>
        <v>271602</v>
      </c>
      <c r="W33" s="197">
        <f t="shared" si="8"/>
        <v>1132</v>
      </c>
      <c r="X33" s="197">
        <v>105277</v>
      </c>
      <c r="Y33" s="197">
        <v>108</v>
      </c>
      <c r="Z33" s="197">
        <v>166325</v>
      </c>
      <c r="AA33" s="197">
        <v>1024</v>
      </c>
      <c r="AB33" s="197">
        <f t="shared" si="9"/>
        <v>81272</v>
      </c>
      <c r="AC33" s="197">
        <f t="shared" si="9"/>
        <v>782</v>
      </c>
      <c r="AD33" s="198">
        <v>68527</v>
      </c>
      <c r="AE33" s="198">
        <v>578</v>
      </c>
      <c r="AF33" s="197">
        <v>12745</v>
      </c>
      <c r="AG33" s="197">
        <v>204</v>
      </c>
      <c r="AH33" s="29"/>
    </row>
    <row r="34" spans="1:34" s="27" customFormat="1" ht="15.75" customHeight="1" hidden="1">
      <c r="A34" s="233" t="s">
        <v>204</v>
      </c>
      <c r="B34" s="264">
        <f>D34+V34+AB34</f>
        <v>18310673</v>
      </c>
      <c r="C34" s="197">
        <f>E34+W34+AC34</f>
        <v>184350</v>
      </c>
      <c r="D34" s="264">
        <f>F34+H34+J34+N34+P34+L34+R34+T34</f>
        <v>17943011</v>
      </c>
      <c r="E34" s="197">
        <f t="shared" si="7"/>
        <v>182380</v>
      </c>
      <c r="F34" s="303">
        <v>149489</v>
      </c>
      <c r="G34" s="303">
        <v>97</v>
      </c>
      <c r="H34" s="197">
        <v>16702254</v>
      </c>
      <c r="I34" s="197">
        <v>157064</v>
      </c>
      <c r="J34" s="197">
        <v>135708</v>
      </c>
      <c r="K34" s="197">
        <v>1227</v>
      </c>
      <c r="L34" s="197">
        <v>896</v>
      </c>
      <c r="M34" s="197">
        <v>14</v>
      </c>
      <c r="N34" s="197">
        <v>745121</v>
      </c>
      <c r="O34" s="197">
        <v>19175</v>
      </c>
      <c r="P34" s="197">
        <v>46028</v>
      </c>
      <c r="Q34" s="197">
        <v>35</v>
      </c>
      <c r="R34" s="197">
        <v>25577</v>
      </c>
      <c r="S34" s="197">
        <v>100</v>
      </c>
      <c r="T34" s="197">
        <v>137938</v>
      </c>
      <c r="U34" s="197">
        <v>4668</v>
      </c>
      <c r="V34" s="197">
        <f t="shared" si="8"/>
        <v>282591</v>
      </c>
      <c r="W34" s="197">
        <f t="shared" si="8"/>
        <v>1152</v>
      </c>
      <c r="X34" s="197">
        <v>115968</v>
      </c>
      <c r="Y34" s="197">
        <v>119</v>
      </c>
      <c r="Z34" s="197">
        <v>166623</v>
      </c>
      <c r="AA34" s="197">
        <v>1033</v>
      </c>
      <c r="AB34" s="197">
        <f t="shared" si="9"/>
        <v>85071</v>
      </c>
      <c r="AC34" s="197">
        <f t="shared" si="9"/>
        <v>818</v>
      </c>
      <c r="AD34" s="198">
        <v>72326</v>
      </c>
      <c r="AE34" s="198">
        <v>614</v>
      </c>
      <c r="AF34" s="197">
        <v>12745</v>
      </c>
      <c r="AG34" s="197">
        <v>204</v>
      </c>
      <c r="AH34" s="29"/>
    </row>
    <row r="35" spans="1:34" s="27" customFormat="1" ht="15.75" customHeight="1">
      <c r="A35" s="273" t="s">
        <v>206</v>
      </c>
      <c r="B35" s="275">
        <f>B47</f>
        <v>20486592</v>
      </c>
      <c r="C35" s="275">
        <f aca="true" t="shared" si="10" ref="C35:AG35">C47</f>
        <v>194860</v>
      </c>
      <c r="D35" s="275">
        <f t="shared" si="10"/>
        <v>20053104</v>
      </c>
      <c r="E35" s="275">
        <f t="shared" si="10"/>
        <v>192895</v>
      </c>
      <c r="F35" s="275">
        <f t="shared" si="10"/>
        <v>166474</v>
      </c>
      <c r="G35" s="275">
        <f t="shared" si="10"/>
        <v>93</v>
      </c>
      <c r="H35" s="275">
        <f t="shared" si="10"/>
        <v>18775728</v>
      </c>
      <c r="I35" s="275">
        <f t="shared" si="10"/>
        <v>167018</v>
      </c>
      <c r="J35" s="275">
        <f t="shared" si="10"/>
        <v>119961</v>
      </c>
      <c r="K35" s="275">
        <f t="shared" si="10"/>
        <v>1224</v>
      </c>
      <c r="L35" s="275">
        <f t="shared" si="10"/>
        <v>894</v>
      </c>
      <c r="M35" s="275">
        <f t="shared" si="10"/>
        <v>17</v>
      </c>
      <c r="N35" s="275">
        <f t="shared" si="10"/>
        <v>731785</v>
      </c>
      <c r="O35" s="275">
        <f t="shared" si="10"/>
        <v>19031</v>
      </c>
      <c r="P35" s="275">
        <f t="shared" si="10"/>
        <v>51600</v>
      </c>
      <c r="Q35" s="275">
        <f t="shared" si="10"/>
        <v>36</v>
      </c>
      <c r="R35" s="275">
        <f t="shared" si="10"/>
        <v>40609</v>
      </c>
      <c r="S35" s="275">
        <f t="shared" si="10"/>
        <v>92</v>
      </c>
      <c r="T35" s="275">
        <f t="shared" si="10"/>
        <v>166053</v>
      </c>
      <c r="U35" s="275">
        <f t="shared" si="10"/>
        <v>5384</v>
      </c>
      <c r="V35" s="275">
        <f t="shared" si="10"/>
        <v>350798</v>
      </c>
      <c r="W35" s="275">
        <f t="shared" si="10"/>
        <v>1232</v>
      </c>
      <c r="X35" s="275">
        <f t="shared" si="10"/>
        <v>164049</v>
      </c>
      <c r="Y35" s="275">
        <f t="shared" si="10"/>
        <v>167</v>
      </c>
      <c r="Z35" s="275">
        <f t="shared" si="10"/>
        <v>186749</v>
      </c>
      <c r="AA35" s="275">
        <f t="shared" si="10"/>
        <v>1065</v>
      </c>
      <c r="AB35" s="275">
        <f t="shared" si="10"/>
        <v>82690</v>
      </c>
      <c r="AC35" s="275">
        <f t="shared" si="10"/>
        <v>733</v>
      </c>
      <c r="AD35" s="275">
        <f t="shared" si="10"/>
        <v>72827</v>
      </c>
      <c r="AE35" s="275">
        <f t="shared" si="10"/>
        <v>587</v>
      </c>
      <c r="AF35" s="275">
        <f t="shared" si="10"/>
        <v>9863</v>
      </c>
      <c r="AG35" s="275">
        <f t="shared" si="10"/>
        <v>146</v>
      </c>
      <c r="AH35" s="29"/>
    </row>
    <row r="36" spans="1:34" s="27" customFormat="1" ht="15.75" customHeight="1" hidden="1">
      <c r="A36" s="233" t="s">
        <v>205</v>
      </c>
      <c r="B36" s="264">
        <f aca="true" t="shared" si="11" ref="B36:C38">D36+V36+AB36</f>
        <v>9284194</v>
      </c>
      <c r="C36" s="197">
        <f t="shared" si="11"/>
        <v>92318</v>
      </c>
      <c r="D36" s="264">
        <f aca="true" t="shared" si="12" ref="D36:D41">F36+H36+J36+N36+P36+L36+R36+T36</f>
        <v>9258225</v>
      </c>
      <c r="E36" s="197">
        <f t="shared" si="7"/>
        <v>92239</v>
      </c>
      <c r="F36" s="303">
        <v>2284</v>
      </c>
      <c r="G36" s="303">
        <v>1</v>
      </c>
      <c r="H36" s="197">
        <v>8828844</v>
      </c>
      <c r="I36" s="197">
        <v>80182</v>
      </c>
      <c r="J36" s="197">
        <v>581</v>
      </c>
      <c r="K36" s="197">
        <v>9</v>
      </c>
      <c r="L36" s="197">
        <v>448</v>
      </c>
      <c r="M36" s="197">
        <v>7</v>
      </c>
      <c r="N36" s="197">
        <v>338289</v>
      </c>
      <c r="O36" s="197">
        <v>9478</v>
      </c>
      <c r="P36" s="197">
        <v>5876</v>
      </c>
      <c r="Q36" s="197">
        <v>4</v>
      </c>
      <c r="R36" s="197">
        <v>4009</v>
      </c>
      <c r="S36" s="197">
        <v>12</v>
      </c>
      <c r="T36" s="197">
        <v>77894</v>
      </c>
      <c r="U36" s="197">
        <v>2546</v>
      </c>
      <c r="V36" s="197">
        <f t="shared" si="8"/>
        <v>22052</v>
      </c>
      <c r="W36" s="197">
        <f t="shared" si="8"/>
        <v>45</v>
      </c>
      <c r="X36" s="197">
        <v>20833</v>
      </c>
      <c r="Y36" s="197">
        <v>27</v>
      </c>
      <c r="Z36" s="197">
        <v>1219</v>
      </c>
      <c r="AA36" s="197">
        <v>18</v>
      </c>
      <c r="AB36" s="197">
        <f t="shared" si="9"/>
        <v>3917</v>
      </c>
      <c r="AC36" s="197">
        <f t="shared" si="9"/>
        <v>34</v>
      </c>
      <c r="AD36" s="198">
        <v>3814</v>
      </c>
      <c r="AE36" s="198">
        <v>32</v>
      </c>
      <c r="AF36" s="197">
        <v>103</v>
      </c>
      <c r="AG36" s="197">
        <v>2</v>
      </c>
      <c r="AH36" s="29"/>
    </row>
    <row r="37" spans="1:34" s="27" customFormat="1" ht="15.75" customHeight="1" hidden="1">
      <c r="A37" s="233" t="s">
        <v>208</v>
      </c>
      <c r="B37" s="264">
        <f t="shared" si="11"/>
        <v>9633348</v>
      </c>
      <c r="C37" s="197">
        <f t="shared" si="11"/>
        <v>94237</v>
      </c>
      <c r="D37" s="264">
        <f t="shared" si="12"/>
        <v>9594296</v>
      </c>
      <c r="E37" s="197">
        <f t="shared" si="7"/>
        <v>94078</v>
      </c>
      <c r="F37" s="303">
        <v>49201</v>
      </c>
      <c r="G37" s="303">
        <v>26</v>
      </c>
      <c r="H37" s="197">
        <v>9057900</v>
      </c>
      <c r="I37" s="197">
        <v>81582</v>
      </c>
      <c r="J37" s="197">
        <v>36905</v>
      </c>
      <c r="K37" s="197">
        <v>353</v>
      </c>
      <c r="L37" s="197">
        <v>448</v>
      </c>
      <c r="M37" s="197">
        <v>7</v>
      </c>
      <c r="N37" s="197">
        <v>353610</v>
      </c>
      <c r="O37" s="197">
        <v>9514</v>
      </c>
      <c r="P37" s="197">
        <v>13600</v>
      </c>
      <c r="Q37" s="197">
        <v>10</v>
      </c>
      <c r="R37" s="197">
        <v>4275</v>
      </c>
      <c r="S37" s="197">
        <v>16</v>
      </c>
      <c r="T37" s="197">
        <v>78357</v>
      </c>
      <c r="U37" s="197">
        <v>2570</v>
      </c>
      <c r="V37" s="197">
        <f t="shared" si="8"/>
        <v>29322</v>
      </c>
      <c r="W37" s="197">
        <f t="shared" si="8"/>
        <v>63</v>
      </c>
      <c r="X37" s="197">
        <v>27960</v>
      </c>
      <c r="Y37" s="197">
        <v>38</v>
      </c>
      <c r="Z37" s="197">
        <v>1362</v>
      </c>
      <c r="AA37" s="197">
        <v>25</v>
      </c>
      <c r="AB37" s="197">
        <f t="shared" si="9"/>
        <v>9730</v>
      </c>
      <c r="AC37" s="197">
        <f t="shared" si="9"/>
        <v>96</v>
      </c>
      <c r="AD37" s="198">
        <v>7778</v>
      </c>
      <c r="AE37" s="198">
        <v>70</v>
      </c>
      <c r="AF37" s="197">
        <v>1952</v>
      </c>
      <c r="AG37" s="197">
        <v>26</v>
      </c>
      <c r="AH37" s="29"/>
    </row>
    <row r="38" spans="1:34" s="27" customFormat="1" ht="15.75" customHeight="1" hidden="1">
      <c r="A38" s="233" t="s">
        <v>209</v>
      </c>
      <c r="B38" s="264">
        <f aca="true" t="shared" si="13" ref="B38:B43">D38+V38+AB38</f>
        <v>9663662</v>
      </c>
      <c r="C38" s="197">
        <f t="shared" si="11"/>
        <v>94401</v>
      </c>
      <c r="D38" s="264">
        <f t="shared" si="12"/>
        <v>9609869</v>
      </c>
      <c r="E38" s="197">
        <f t="shared" si="7"/>
        <v>94186</v>
      </c>
      <c r="F38" s="303">
        <v>50235</v>
      </c>
      <c r="G38" s="303">
        <v>27</v>
      </c>
      <c r="H38" s="197">
        <v>9062319</v>
      </c>
      <c r="I38" s="197">
        <v>81636</v>
      </c>
      <c r="J38" s="197">
        <f>38031-1</f>
        <v>38030</v>
      </c>
      <c r="K38" s="197">
        <v>366</v>
      </c>
      <c r="L38" s="197">
        <v>448</v>
      </c>
      <c r="M38" s="197">
        <v>7</v>
      </c>
      <c r="N38" s="197">
        <v>355349</v>
      </c>
      <c r="O38" s="197">
        <v>9523</v>
      </c>
      <c r="P38" s="197">
        <v>17734</v>
      </c>
      <c r="Q38" s="197">
        <v>14</v>
      </c>
      <c r="R38" s="197">
        <v>6731</v>
      </c>
      <c r="S38" s="197">
        <v>20</v>
      </c>
      <c r="T38" s="197">
        <v>79023</v>
      </c>
      <c r="U38" s="197">
        <v>2593</v>
      </c>
      <c r="V38" s="197">
        <f t="shared" si="8"/>
        <v>38414</v>
      </c>
      <c r="W38" s="197">
        <f t="shared" si="8"/>
        <v>76</v>
      </c>
      <c r="X38" s="197">
        <v>36194</v>
      </c>
      <c r="Y38" s="197">
        <v>46</v>
      </c>
      <c r="Z38" s="197">
        <v>2220</v>
      </c>
      <c r="AA38" s="197">
        <v>30</v>
      </c>
      <c r="AB38" s="197">
        <f t="shared" si="9"/>
        <v>15379</v>
      </c>
      <c r="AC38" s="197">
        <f t="shared" si="9"/>
        <v>139</v>
      </c>
      <c r="AD38" s="198">
        <v>13018</v>
      </c>
      <c r="AE38" s="198">
        <v>109</v>
      </c>
      <c r="AF38" s="197">
        <v>2361</v>
      </c>
      <c r="AG38" s="197">
        <v>30</v>
      </c>
      <c r="AH38" s="29"/>
    </row>
    <row r="39" spans="1:34" s="27" customFormat="1" ht="15.75" customHeight="1" hidden="1">
      <c r="A39" s="233" t="s">
        <v>212</v>
      </c>
      <c r="B39" s="264">
        <f t="shared" si="13"/>
        <v>9696301</v>
      </c>
      <c r="C39" s="197">
        <f aca="true" t="shared" si="14" ref="C39:C44">E39+W39+AC39</f>
        <v>94524</v>
      </c>
      <c r="D39" s="264">
        <f t="shared" si="12"/>
        <v>9615705</v>
      </c>
      <c r="E39" s="197">
        <f aca="true" t="shared" si="15" ref="E39:E44">G39+I39+K39+O39+Q39+M39+S39+U39</f>
        <v>94228</v>
      </c>
      <c r="F39" s="303">
        <v>50235</v>
      </c>
      <c r="G39" s="303">
        <v>27</v>
      </c>
      <c r="H39" s="197">
        <v>9063356</v>
      </c>
      <c r="I39" s="197">
        <v>81653</v>
      </c>
      <c r="J39" s="197">
        <v>38537</v>
      </c>
      <c r="K39" s="197">
        <v>370</v>
      </c>
      <c r="L39" s="197">
        <v>448</v>
      </c>
      <c r="M39" s="197">
        <v>7</v>
      </c>
      <c r="N39" s="197">
        <f>355384+1</f>
        <v>355385</v>
      </c>
      <c r="O39" s="197">
        <v>9527</v>
      </c>
      <c r="P39" s="197">
        <v>17734</v>
      </c>
      <c r="Q39" s="197">
        <v>14</v>
      </c>
      <c r="R39" s="197">
        <v>10676</v>
      </c>
      <c r="S39" s="197">
        <v>30</v>
      </c>
      <c r="T39" s="197">
        <v>79334</v>
      </c>
      <c r="U39" s="197">
        <v>2600</v>
      </c>
      <c r="V39" s="197">
        <f aca="true" t="shared" si="16" ref="V39:W41">+X39+Z39</f>
        <v>58965</v>
      </c>
      <c r="W39" s="197">
        <f t="shared" si="16"/>
        <v>106</v>
      </c>
      <c r="X39" s="197">
        <v>54933</v>
      </c>
      <c r="Y39" s="197">
        <v>65</v>
      </c>
      <c r="Z39" s="197">
        <f>4033-1</f>
        <v>4032</v>
      </c>
      <c r="AA39" s="197">
        <v>41</v>
      </c>
      <c r="AB39" s="197">
        <f>AD39+AF39</f>
        <v>21631</v>
      </c>
      <c r="AC39" s="197">
        <f>AE39+AG39</f>
        <v>190</v>
      </c>
      <c r="AD39" s="198">
        <v>19270</v>
      </c>
      <c r="AE39" s="198">
        <v>160</v>
      </c>
      <c r="AF39" s="197">
        <v>2361</v>
      </c>
      <c r="AG39" s="197">
        <v>30</v>
      </c>
      <c r="AH39" s="29"/>
    </row>
    <row r="40" spans="1:34" s="27" customFormat="1" ht="15.75" customHeight="1" hidden="1">
      <c r="A40" s="233" t="s">
        <v>213</v>
      </c>
      <c r="B40" s="264">
        <f t="shared" si="13"/>
        <v>9723810</v>
      </c>
      <c r="C40" s="197">
        <f t="shared" si="14"/>
        <v>94624</v>
      </c>
      <c r="D40" s="264">
        <f t="shared" si="12"/>
        <v>9628444</v>
      </c>
      <c r="E40" s="197">
        <f t="shared" si="15"/>
        <v>94269</v>
      </c>
      <c r="F40" s="303">
        <v>50941</v>
      </c>
      <c r="G40" s="303">
        <v>28</v>
      </c>
      <c r="H40" s="303">
        <v>9064113</v>
      </c>
      <c r="I40" s="303">
        <v>81669</v>
      </c>
      <c r="J40" s="303">
        <v>39159</v>
      </c>
      <c r="K40" s="303">
        <v>377</v>
      </c>
      <c r="L40" s="303">
        <v>448</v>
      </c>
      <c r="M40" s="303">
        <v>7</v>
      </c>
      <c r="N40" s="303">
        <v>355363</v>
      </c>
      <c r="O40" s="303">
        <v>9530</v>
      </c>
      <c r="P40" s="303">
        <v>20315</v>
      </c>
      <c r="Q40" s="303">
        <v>16</v>
      </c>
      <c r="R40" s="303">
        <v>18760</v>
      </c>
      <c r="S40" s="303">
        <v>39</v>
      </c>
      <c r="T40" s="303">
        <v>79345</v>
      </c>
      <c r="U40" s="303">
        <v>2603</v>
      </c>
      <c r="V40" s="197">
        <f t="shared" si="16"/>
        <v>69738</v>
      </c>
      <c r="W40" s="197">
        <f t="shared" si="16"/>
        <v>122</v>
      </c>
      <c r="X40" s="197">
        <v>64958</v>
      </c>
      <c r="Y40" s="197">
        <v>76</v>
      </c>
      <c r="Z40" s="197">
        <v>4780</v>
      </c>
      <c r="AA40" s="197">
        <v>46</v>
      </c>
      <c r="AB40" s="197">
        <f>AD40+AF40</f>
        <v>25628</v>
      </c>
      <c r="AC40" s="197">
        <f>AE40+AG40</f>
        <v>233</v>
      </c>
      <c r="AD40" s="198">
        <v>23266</v>
      </c>
      <c r="AE40" s="198">
        <v>203</v>
      </c>
      <c r="AF40" s="198">
        <f>2361+1</f>
        <v>2362</v>
      </c>
      <c r="AG40" s="198">
        <v>30</v>
      </c>
      <c r="AH40" s="29"/>
    </row>
    <row r="41" spans="1:34" s="27" customFormat="1" ht="15.75" customHeight="1" hidden="1">
      <c r="A41" s="233" t="s">
        <v>214</v>
      </c>
      <c r="B41" s="264">
        <f t="shared" si="13"/>
        <v>9747503</v>
      </c>
      <c r="C41" s="197">
        <f t="shared" si="14"/>
        <v>94738</v>
      </c>
      <c r="D41" s="264">
        <f t="shared" si="12"/>
        <v>9636378</v>
      </c>
      <c r="E41" s="197">
        <f t="shared" si="15"/>
        <v>94326</v>
      </c>
      <c r="F41" s="303">
        <v>54232</v>
      </c>
      <c r="G41" s="303">
        <v>30</v>
      </c>
      <c r="H41" s="303">
        <v>9065660</v>
      </c>
      <c r="I41" s="303">
        <v>81708</v>
      </c>
      <c r="J41" s="303">
        <v>39684</v>
      </c>
      <c r="K41" s="303">
        <v>384</v>
      </c>
      <c r="L41" s="303">
        <v>448</v>
      </c>
      <c r="M41" s="303">
        <v>7</v>
      </c>
      <c r="N41" s="303">
        <v>355363</v>
      </c>
      <c r="O41" s="303">
        <v>9530</v>
      </c>
      <c r="P41" s="338">
        <v>22642</v>
      </c>
      <c r="Q41" s="303">
        <v>17</v>
      </c>
      <c r="R41" s="303">
        <v>18919</v>
      </c>
      <c r="S41" s="303">
        <v>43</v>
      </c>
      <c r="T41" s="303">
        <v>79430</v>
      </c>
      <c r="U41" s="303">
        <v>2607</v>
      </c>
      <c r="V41" s="197">
        <f t="shared" si="16"/>
        <v>80545</v>
      </c>
      <c r="W41" s="197">
        <f t="shared" si="16"/>
        <v>136</v>
      </c>
      <c r="X41" s="197">
        <f>74336</f>
        <v>74336</v>
      </c>
      <c r="Y41" s="197">
        <v>84</v>
      </c>
      <c r="Z41" s="197">
        <v>6209</v>
      </c>
      <c r="AA41" s="197">
        <v>52</v>
      </c>
      <c r="AB41" s="197">
        <f aca="true" t="shared" si="17" ref="AB41:AC43">AD41+AF41</f>
        <v>30580</v>
      </c>
      <c r="AC41" s="197">
        <f t="shared" si="17"/>
        <v>276</v>
      </c>
      <c r="AD41" s="198">
        <v>28219</v>
      </c>
      <c r="AE41" s="198">
        <v>246</v>
      </c>
      <c r="AF41" s="198">
        <v>2361</v>
      </c>
      <c r="AG41" s="198">
        <v>30</v>
      </c>
      <c r="AH41" s="29"/>
    </row>
    <row r="42" spans="1:34" s="27" customFormat="1" ht="15.75" customHeight="1" hidden="1">
      <c r="A42" s="233" t="s">
        <v>215</v>
      </c>
      <c r="B42" s="264">
        <f t="shared" si="13"/>
        <v>19480087</v>
      </c>
      <c r="C42" s="197">
        <f t="shared" si="14"/>
        <v>189438</v>
      </c>
      <c r="D42" s="264">
        <f aca="true" t="shared" si="18" ref="D42:D47">F42+H42+J42+N42+P42+L42+R42+T42</f>
        <v>19178992</v>
      </c>
      <c r="E42" s="197">
        <f t="shared" si="15"/>
        <v>188018</v>
      </c>
      <c r="F42" s="303">
        <v>56943</v>
      </c>
      <c r="G42" s="303">
        <v>31</v>
      </c>
      <c r="H42" s="303">
        <v>18171881</v>
      </c>
      <c r="I42" s="303">
        <v>163198</v>
      </c>
      <c r="J42" s="303">
        <v>40623</v>
      </c>
      <c r="K42" s="303">
        <v>392</v>
      </c>
      <c r="L42" s="303">
        <v>896</v>
      </c>
      <c r="M42" s="303">
        <v>14</v>
      </c>
      <c r="N42" s="303">
        <v>693456</v>
      </c>
      <c r="O42" s="303">
        <v>18964</v>
      </c>
      <c r="P42" s="338">
        <v>25980</v>
      </c>
      <c r="Q42" s="303">
        <v>19</v>
      </c>
      <c r="R42" s="303">
        <v>24217</v>
      </c>
      <c r="S42" s="303">
        <v>56</v>
      </c>
      <c r="T42" s="303">
        <v>164996</v>
      </c>
      <c r="U42" s="303">
        <v>5344</v>
      </c>
      <c r="V42" s="197">
        <f aca="true" t="shared" si="19" ref="V42:W44">+X42+Z42</f>
        <v>265868</v>
      </c>
      <c r="W42" s="197">
        <f t="shared" si="19"/>
        <v>1090</v>
      </c>
      <c r="X42" s="197">
        <v>86702</v>
      </c>
      <c r="Y42" s="197">
        <v>95</v>
      </c>
      <c r="Z42" s="197">
        <v>179166</v>
      </c>
      <c r="AA42" s="197">
        <v>995</v>
      </c>
      <c r="AB42" s="197">
        <f t="shared" si="17"/>
        <v>35227</v>
      </c>
      <c r="AC42" s="197">
        <f t="shared" si="17"/>
        <v>330</v>
      </c>
      <c r="AD42" s="198">
        <v>32310</v>
      </c>
      <c r="AE42" s="198">
        <v>296</v>
      </c>
      <c r="AF42" s="198">
        <v>2917</v>
      </c>
      <c r="AG42" s="198">
        <v>34</v>
      </c>
      <c r="AH42" s="29"/>
    </row>
    <row r="43" spans="1:34" s="27" customFormat="1" ht="15.75" customHeight="1" hidden="1">
      <c r="A43" s="233" t="s">
        <v>216</v>
      </c>
      <c r="B43" s="264">
        <f t="shared" si="13"/>
        <v>20363099</v>
      </c>
      <c r="C43" s="197">
        <f t="shared" si="14"/>
        <v>194117</v>
      </c>
      <c r="D43" s="264">
        <f t="shared" si="18"/>
        <v>20021029</v>
      </c>
      <c r="E43" s="197">
        <f t="shared" si="15"/>
        <v>192474</v>
      </c>
      <c r="F43" s="303">
        <v>163196</v>
      </c>
      <c r="G43" s="303">
        <v>84</v>
      </c>
      <c r="H43" s="303">
        <v>18768370</v>
      </c>
      <c r="I43" s="303">
        <v>166776</v>
      </c>
      <c r="J43" s="303">
        <v>118186</v>
      </c>
      <c r="K43" s="303">
        <v>1114</v>
      </c>
      <c r="L43" s="303">
        <v>896</v>
      </c>
      <c r="M43" s="303">
        <v>14</v>
      </c>
      <c r="N43" s="303">
        <v>731350</v>
      </c>
      <c r="O43" s="303">
        <v>19026</v>
      </c>
      <c r="P43" s="338">
        <v>43131</v>
      </c>
      <c r="Q43" s="303">
        <v>30</v>
      </c>
      <c r="R43" s="303">
        <v>30231</v>
      </c>
      <c r="S43" s="303">
        <v>66</v>
      </c>
      <c r="T43" s="303">
        <v>165669</v>
      </c>
      <c r="U43" s="303">
        <v>5364</v>
      </c>
      <c r="V43" s="197">
        <f t="shared" si="19"/>
        <v>288716</v>
      </c>
      <c r="W43" s="197">
        <f t="shared" si="19"/>
        <v>1126</v>
      </c>
      <c r="X43" s="197">
        <v>107315</v>
      </c>
      <c r="Y43" s="197">
        <v>112</v>
      </c>
      <c r="Z43" s="197">
        <v>181401</v>
      </c>
      <c r="AA43" s="197">
        <v>1014</v>
      </c>
      <c r="AB43" s="197">
        <f t="shared" si="17"/>
        <v>53354</v>
      </c>
      <c r="AC43" s="197">
        <f t="shared" si="17"/>
        <v>517</v>
      </c>
      <c r="AD43" s="198">
        <v>43677</v>
      </c>
      <c r="AE43" s="198">
        <v>385</v>
      </c>
      <c r="AF43" s="198">
        <v>9677</v>
      </c>
      <c r="AG43" s="198">
        <v>132</v>
      </c>
      <c r="AH43" s="29"/>
    </row>
    <row r="44" spans="1:34" s="27" customFormat="1" ht="15.75" customHeight="1" hidden="1">
      <c r="A44" s="233" t="s">
        <v>217</v>
      </c>
      <c r="B44" s="264">
        <f>D44+V44+AB44</f>
        <v>20395913</v>
      </c>
      <c r="C44" s="197">
        <f t="shared" si="14"/>
        <v>194351</v>
      </c>
      <c r="D44" s="264">
        <f t="shared" si="18"/>
        <v>20032447</v>
      </c>
      <c r="E44" s="197">
        <f t="shared" si="15"/>
        <v>192596</v>
      </c>
      <c r="F44" s="303">
        <v>164541</v>
      </c>
      <c r="G44" s="303">
        <v>87</v>
      </c>
      <c r="H44" s="303">
        <v>18772206</v>
      </c>
      <c r="I44" s="303">
        <v>166849</v>
      </c>
      <c r="J44" s="303">
        <v>119135</v>
      </c>
      <c r="K44" s="303">
        <v>1137</v>
      </c>
      <c r="L44" s="303">
        <v>896</v>
      </c>
      <c r="M44" s="303">
        <v>14</v>
      </c>
      <c r="N44" s="303">
        <v>731785</v>
      </c>
      <c r="O44" s="303">
        <v>19031</v>
      </c>
      <c r="P44" s="338">
        <v>45242</v>
      </c>
      <c r="Q44" s="303">
        <v>31</v>
      </c>
      <c r="R44" s="303">
        <v>32790</v>
      </c>
      <c r="S44" s="303">
        <v>71</v>
      </c>
      <c r="T44" s="303">
        <f>165851+1</f>
        <v>165852</v>
      </c>
      <c r="U44" s="303">
        <v>5376</v>
      </c>
      <c r="V44" s="197">
        <f t="shared" si="19"/>
        <v>300417</v>
      </c>
      <c r="W44" s="197">
        <f t="shared" si="19"/>
        <v>1152</v>
      </c>
      <c r="X44" s="197">
        <v>117463</v>
      </c>
      <c r="Y44" s="197">
        <v>125</v>
      </c>
      <c r="Z44" s="197">
        <v>182954</v>
      </c>
      <c r="AA44" s="197">
        <v>1027</v>
      </c>
      <c r="AB44" s="197">
        <f aca="true" t="shared" si="20" ref="AB44:AC47">AD44+AF44</f>
        <v>63049</v>
      </c>
      <c r="AC44" s="197">
        <f t="shared" si="20"/>
        <v>603</v>
      </c>
      <c r="AD44" s="198">
        <v>53372</v>
      </c>
      <c r="AE44" s="198">
        <v>467</v>
      </c>
      <c r="AF44" s="198">
        <v>9677</v>
      </c>
      <c r="AG44" s="198">
        <v>136</v>
      </c>
      <c r="AH44" s="29"/>
    </row>
    <row r="45" spans="1:34" s="27" customFormat="1" ht="15.75" customHeight="1" hidden="1">
      <c r="A45" s="233" t="s">
        <v>218</v>
      </c>
      <c r="B45" s="264">
        <f>D45+V45+AB45</f>
        <v>20427287</v>
      </c>
      <c r="C45" s="197">
        <f>E45+W45+AC45</f>
        <v>194530</v>
      </c>
      <c r="D45" s="264">
        <f t="shared" si="18"/>
        <v>20036917</v>
      </c>
      <c r="E45" s="197">
        <f>G45+I45+K45+O45+Q45+M45+S45+U45</f>
        <v>192698</v>
      </c>
      <c r="F45" s="303">
        <v>164656</v>
      </c>
      <c r="G45" s="303">
        <v>89</v>
      </c>
      <c r="H45" s="303">
        <v>18773997</v>
      </c>
      <c r="I45" s="303">
        <v>166909</v>
      </c>
      <c r="J45" s="303">
        <f>119225-1</f>
        <v>119224</v>
      </c>
      <c r="K45" s="303">
        <v>1168</v>
      </c>
      <c r="L45" s="303">
        <v>896</v>
      </c>
      <c r="M45" s="303">
        <v>14</v>
      </c>
      <c r="N45" s="303">
        <v>731785</v>
      </c>
      <c r="O45" s="303">
        <v>19031</v>
      </c>
      <c r="P45" s="338">
        <v>45314</v>
      </c>
      <c r="Q45" s="303">
        <v>32</v>
      </c>
      <c r="R45" s="303">
        <v>34995</v>
      </c>
      <c r="S45" s="303">
        <v>76</v>
      </c>
      <c r="T45" s="303">
        <v>166050</v>
      </c>
      <c r="U45" s="303">
        <v>5379</v>
      </c>
      <c r="V45" s="197">
        <f aca="true" t="shared" si="21" ref="V45:W47">+X45+Z45</f>
        <v>316442</v>
      </c>
      <c r="W45" s="197">
        <f t="shared" si="21"/>
        <v>1174</v>
      </c>
      <c r="X45" s="197">
        <v>132565</v>
      </c>
      <c r="Y45" s="197">
        <v>140</v>
      </c>
      <c r="Z45" s="197">
        <v>183877</v>
      </c>
      <c r="AA45" s="197">
        <v>1034</v>
      </c>
      <c r="AB45" s="197">
        <f t="shared" si="20"/>
        <v>73928</v>
      </c>
      <c r="AC45" s="197">
        <f t="shared" si="20"/>
        <v>658</v>
      </c>
      <c r="AD45" s="198">
        <v>64227</v>
      </c>
      <c r="AE45" s="198">
        <v>520</v>
      </c>
      <c r="AF45" s="198">
        <v>9701</v>
      </c>
      <c r="AG45" s="198">
        <v>138</v>
      </c>
      <c r="AH45" s="29"/>
    </row>
    <row r="46" spans="1:34" s="27" customFormat="1" ht="15.75" customHeight="1" hidden="1">
      <c r="A46" s="233" t="s">
        <v>219</v>
      </c>
      <c r="B46" s="264">
        <f>D46+V46+AB46</f>
        <v>20457247</v>
      </c>
      <c r="C46" s="197">
        <f>E46+W46+AC46</f>
        <v>194716</v>
      </c>
      <c r="D46" s="264">
        <f t="shared" si="18"/>
        <v>20047507</v>
      </c>
      <c r="E46" s="197">
        <f>G46+I46+K46+O46+Q46+M46+S46+U46</f>
        <v>192825</v>
      </c>
      <c r="F46" s="303">
        <f>166403+1</f>
        <v>166404</v>
      </c>
      <c r="G46" s="303">
        <v>92</v>
      </c>
      <c r="H46" s="303">
        <v>18774895</v>
      </c>
      <c r="I46" s="303">
        <v>166974</v>
      </c>
      <c r="J46" s="303">
        <f>119389+1</f>
        <v>119390</v>
      </c>
      <c r="K46" s="303">
        <v>1211</v>
      </c>
      <c r="L46" s="303">
        <v>894</v>
      </c>
      <c r="M46" s="303">
        <v>17</v>
      </c>
      <c r="N46" s="303">
        <v>731785</v>
      </c>
      <c r="O46" s="303">
        <v>19031</v>
      </c>
      <c r="P46" s="338">
        <v>49410</v>
      </c>
      <c r="Q46" s="303">
        <v>35</v>
      </c>
      <c r="R46" s="303">
        <v>38654</v>
      </c>
      <c r="S46" s="303">
        <v>83</v>
      </c>
      <c r="T46" s="303">
        <v>166075</v>
      </c>
      <c r="U46" s="303">
        <v>5382</v>
      </c>
      <c r="V46" s="197">
        <f t="shared" si="21"/>
        <v>332121</v>
      </c>
      <c r="W46" s="197">
        <f t="shared" si="21"/>
        <v>1198</v>
      </c>
      <c r="X46" s="197">
        <v>147321</v>
      </c>
      <c r="Y46" s="197">
        <v>152</v>
      </c>
      <c r="Z46" s="197">
        <v>184800</v>
      </c>
      <c r="AA46" s="197">
        <v>1046</v>
      </c>
      <c r="AB46" s="197">
        <f t="shared" si="20"/>
        <v>77619</v>
      </c>
      <c r="AC46" s="197">
        <f t="shared" si="20"/>
        <v>693</v>
      </c>
      <c r="AD46" s="198">
        <v>67820</v>
      </c>
      <c r="AE46" s="198">
        <v>551</v>
      </c>
      <c r="AF46" s="198">
        <v>9799</v>
      </c>
      <c r="AG46" s="198">
        <v>142</v>
      </c>
      <c r="AH46" s="29"/>
    </row>
    <row r="47" spans="1:34" s="27" customFormat="1" ht="15.75" customHeight="1" hidden="1">
      <c r="A47" s="233" t="s">
        <v>220</v>
      </c>
      <c r="B47" s="264">
        <f>D47+V47+AB47</f>
        <v>20486592</v>
      </c>
      <c r="C47" s="197">
        <f>E47+W47+AC47</f>
        <v>194860</v>
      </c>
      <c r="D47" s="264">
        <f t="shared" si="18"/>
        <v>20053104</v>
      </c>
      <c r="E47" s="197">
        <f>G47+I47+K47+O47+Q47+M47+S47+U47</f>
        <v>192895</v>
      </c>
      <c r="F47" s="303">
        <v>166474</v>
      </c>
      <c r="G47" s="303">
        <v>93</v>
      </c>
      <c r="H47" s="303">
        <v>18775728</v>
      </c>
      <c r="I47" s="303">
        <v>167018</v>
      </c>
      <c r="J47" s="303">
        <v>119961</v>
      </c>
      <c r="K47" s="303">
        <v>1224</v>
      </c>
      <c r="L47" s="303">
        <v>894</v>
      </c>
      <c r="M47" s="303">
        <v>17</v>
      </c>
      <c r="N47" s="303">
        <v>731785</v>
      </c>
      <c r="O47" s="303">
        <v>19031</v>
      </c>
      <c r="P47" s="338">
        <v>51600</v>
      </c>
      <c r="Q47" s="303">
        <v>36</v>
      </c>
      <c r="R47" s="303">
        <v>40609</v>
      </c>
      <c r="S47" s="303">
        <v>92</v>
      </c>
      <c r="T47" s="303">
        <v>166053</v>
      </c>
      <c r="U47" s="303">
        <v>5384</v>
      </c>
      <c r="V47" s="197">
        <f t="shared" si="21"/>
        <v>350798</v>
      </c>
      <c r="W47" s="197">
        <f t="shared" si="21"/>
        <v>1232</v>
      </c>
      <c r="X47" s="197">
        <v>164049</v>
      </c>
      <c r="Y47" s="197">
        <v>167</v>
      </c>
      <c r="Z47" s="197">
        <v>186749</v>
      </c>
      <c r="AA47" s="197">
        <v>1065</v>
      </c>
      <c r="AB47" s="197">
        <f t="shared" si="20"/>
        <v>82690</v>
      </c>
      <c r="AC47" s="197">
        <f t="shared" si="20"/>
        <v>733</v>
      </c>
      <c r="AD47" s="198">
        <v>72827</v>
      </c>
      <c r="AE47" s="198">
        <v>587</v>
      </c>
      <c r="AF47" s="198">
        <v>9863</v>
      </c>
      <c r="AG47" s="198">
        <v>146</v>
      </c>
      <c r="AH47" s="29"/>
    </row>
    <row r="48" spans="1:34" s="27" customFormat="1" ht="15.75" customHeight="1">
      <c r="A48" s="273" t="s">
        <v>221</v>
      </c>
      <c r="B48" s="275"/>
      <c r="C48" s="275"/>
      <c r="D48" s="275"/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T48" s="275"/>
      <c r="U48" s="275"/>
      <c r="V48" s="197"/>
      <c r="W48" s="197"/>
      <c r="X48" s="275"/>
      <c r="Y48" s="275"/>
      <c r="Z48" s="275"/>
      <c r="AA48" s="275"/>
      <c r="AB48" s="197"/>
      <c r="AC48" s="197"/>
      <c r="AD48" s="275"/>
      <c r="AE48" s="275"/>
      <c r="AF48" s="275"/>
      <c r="AG48" s="275"/>
      <c r="AH48" s="29"/>
    </row>
    <row r="49" spans="1:34" s="360" customFormat="1" ht="15.75" customHeight="1">
      <c r="A49" s="355" t="s">
        <v>223</v>
      </c>
      <c r="B49" s="356">
        <f aca="true" t="shared" si="22" ref="B49:C51">D49+V49+AB49</f>
        <v>10286378</v>
      </c>
      <c r="C49" s="352">
        <f t="shared" si="22"/>
        <v>97330</v>
      </c>
      <c r="D49" s="356">
        <f aca="true" t="shared" si="23" ref="D49:E51">F49+H49+J49+N49+P49+L49+R49+T49</f>
        <v>10265113</v>
      </c>
      <c r="E49" s="352">
        <f t="shared" si="23"/>
        <v>97266</v>
      </c>
      <c r="F49" s="195">
        <v>942</v>
      </c>
      <c r="G49" s="195">
        <v>1</v>
      </c>
      <c r="H49" s="195">
        <v>9821658</v>
      </c>
      <c r="I49" s="195">
        <v>84910</v>
      </c>
      <c r="J49" s="195">
        <v>420</v>
      </c>
      <c r="K49" s="195">
        <v>6</v>
      </c>
      <c r="L49" s="195">
        <v>642</v>
      </c>
      <c r="M49" s="195">
        <v>8</v>
      </c>
      <c r="N49" s="195">
        <v>339434</v>
      </c>
      <c r="O49" s="195">
        <v>9415</v>
      </c>
      <c r="P49" s="357">
        <v>6135</v>
      </c>
      <c r="Q49" s="195">
        <v>3</v>
      </c>
      <c r="R49" s="195">
        <v>3902</v>
      </c>
      <c r="S49" s="195">
        <v>13</v>
      </c>
      <c r="T49" s="195">
        <v>91980</v>
      </c>
      <c r="U49" s="195">
        <v>2910</v>
      </c>
      <c r="V49" s="352">
        <f aca="true" t="shared" si="24" ref="V49:W51">+X49+Z49</f>
        <v>16804</v>
      </c>
      <c r="W49" s="352">
        <f t="shared" si="24"/>
        <v>28</v>
      </c>
      <c r="X49" s="352">
        <v>15925</v>
      </c>
      <c r="Y49" s="352">
        <v>17</v>
      </c>
      <c r="Z49" s="352">
        <v>879</v>
      </c>
      <c r="AA49" s="352">
        <v>11</v>
      </c>
      <c r="AB49" s="352">
        <f aca="true" t="shared" si="25" ref="AB49:AC52">AD49+AF49</f>
        <v>4461</v>
      </c>
      <c r="AC49" s="352">
        <f t="shared" si="25"/>
        <v>36</v>
      </c>
      <c r="AD49" s="358">
        <v>3696</v>
      </c>
      <c r="AE49" s="358">
        <v>28</v>
      </c>
      <c r="AF49" s="358">
        <v>765</v>
      </c>
      <c r="AG49" s="358">
        <v>8</v>
      </c>
      <c r="AH49" s="359"/>
    </row>
    <row r="50" spans="1:34" s="360" customFormat="1" ht="15.75" customHeight="1">
      <c r="A50" s="355" t="s">
        <v>224</v>
      </c>
      <c r="B50" s="356">
        <f t="shared" si="22"/>
        <v>300130</v>
      </c>
      <c r="C50" s="352">
        <f t="shared" si="22"/>
        <v>1658</v>
      </c>
      <c r="D50" s="356">
        <f t="shared" si="23"/>
        <v>280487</v>
      </c>
      <c r="E50" s="352">
        <f t="shared" si="23"/>
        <v>1558</v>
      </c>
      <c r="F50" s="195">
        <v>33129</v>
      </c>
      <c r="G50" s="195">
        <v>22</v>
      </c>
      <c r="H50" s="195">
        <v>202500</v>
      </c>
      <c r="I50" s="195">
        <v>1185</v>
      </c>
      <c r="J50" s="195">
        <v>28742</v>
      </c>
      <c r="K50" s="195">
        <v>292</v>
      </c>
      <c r="L50" s="195">
        <v>0</v>
      </c>
      <c r="M50" s="195">
        <v>0</v>
      </c>
      <c r="N50" s="195">
        <v>7758</v>
      </c>
      <c r="O50" s="195">
        <v>17</v>
      </c>
      <c r="P50" s="357">
        <v>2683</v>
      </c>
      <c r="Q50" s="195">
        <v>2</v>
      </c>
      <c r="R50" s="195">
        <v>4665</v>
      </c>
      <c r="S50" s="195">
        <v>10</v>
      </c>
      <c r="T50" s="195">
        <v>1010</v>
      </c>
      <c r="U50" s="195">
        <v>30</v>
      </c>
      <c r="V50" s="352">
        <f t="shared" si="24"/>
        <v>9811</v>
      </c>
      <c r="W50" s="352">
        <f t="shared" si="24"/>
        <v>12</v>
      </c>
      <c r="X50" s="352">
        <v>8751</v>
      </c>
      <c r="Y50" s="352">
        <v>8</v>
      </c>
      <c r="Z50" s="352">
        <v>1060</v>
      </c>
      <c r="AA50" s="352">
        <v>4</v>
      </c>
      <c r="AB50" s="352">
        <f t="shared" si="25"/>
        <v>9832</v>
      </c>
      <c r="AC50" s="352">
        <f t="shared" si="25"/>
        <v>88</v>
      </c>
      <c r="AD50" s="358">
        <v>7205</v>
      </c>
      <c r="AE50" s="358">
        <v>58</v>
      </c>
      <c r="AF50" s="358">
        <v>2627</v>
      </c>
      <c r="AG50" s="358">
        <v>30</v>
      </c>
      <c r="AH50" s="359"/>
    </row>
    <row r="51" spans="1:34" s="360" customFormat="1" ht="15.75" customHeight="1">
      <c r="A51" s="355" t="s">
        <v>226</v>
      </c>
      <c r="B51" s="356">
        <f t="shared" si="22"/>
        <v>37257</v>
      </c>
      <c r="C51" s="352">
        <f t="shared" si="22"/>
        <v>159</v>
      </c>
      <c r="D51" s="356">
        <f t="shared" si="23"/>
        <v>10967</v>
      </c>
      <c r="E51" s="352">
        <f t="shared" si="23"/>
        <v>87</v>
      </c>
      <c r="F51" s="195">
        <v>796</v>
      </c>
      <c r="G51" s="195">
        <v>1</v>
      </c>
      <c r="H51" s="195">
        <v>3433</v>
      </c>
      <c r="I51" s="195">
        <v>45</v>
      </c>
      <c r="J51" s="195">
        <v>873</v>
      </c>
      <c r="K51" s="195">
        <v>11</v>
      </c>
      <c r="L51" s="195">
        <v>0</v>
      </c>
      <c r="M51" s="195">
        <v>0</v>
      </c>
      <c r="N51" s="195">
        <v>2756</v>
      </c>
      <c r="O51" s="195">
        <v>9</v>
      </c>
      <c r="P51" s="357">
        <v>1037</v>
      </c>
      <c r="Q51" s="195">
        <v>1</v>
      </c>
      <c r="R51" s="195">
        <v>2019</v>
      </c>
      <c r="S51" s="195">
        <v>9</v>
      </c>
      <c r="T51" s="195">
        <v>53</v>
      </c>
      <c r="U51" s="195">
        <v>11</v>
      </c>
      <c r="V51" s="352">
        <f t="shared" si="24"/>
        <v>20405</v>
      </c>
      <c r="W51" s="352">
        <f t="shared" si="24"/>
        <v>34</v>
      </c>
      <c r="X51" s="352">
        <v>18570</v>
      </c>
      <c r="Y51" s="352">
        <v>22</v>
      </c>
      <c r="Z51" s="352">
        <v>1835</v>
      </c>
      <c r="AA51" s="352">
        <v>12</v>
      </c>
      <c r="AB51" s="352">
        <f t="shared" si="25"/>
        <v>5885</v>
      </c>
      <c r="AC51" s="352">
        <f t="shared" si="25"/>
        <v>38</v>
      </c>
      <c r="AD51" s="358">
        <v>5881</v>
      </c>
      <c r="AE51" s="358">
        <v>36</v>
      </c>
      <c r="AF51" s="358">
        <v>4</v>
      </c>
      <c r="AG51" s="358">
        <v>2</v>
      </c>
      <c r="AH51" s="359"/>
    </row>
    <row r="52" spans="1:34" s="360" customFormat="1" ht="15.75" customHeight="1">
      <c r="A52" s="355" t="s">
        <v>227</v>
      </c>
      <c r="B52" s="356">
        <f>D52+V52+AB52</f>
        <v>28063</v>
      </c>
      <c r="C52" s="352">
        <f>E52+W52+AC52</f>
        <v>90</v>
      </c>
      <c r="D52" s="356">
        <f>F52+H52+J52+N52+P52+L52+R52+T52</f>
        <v>9624</v>
      </c>
      <c r="E52" s="352">
        <f>G52+I52+K52+O52+Q52+M52+S52+U52</f>
        <v>45</v>
      </c>
      <c r="F52" s="195">
        <v>424</v>
      </c>
      <c r="G52" s="195">
        <v>1</v>
      </c>
      <c r="H52" s="195">
        <v>1021</v>
      </c>
      <c r="I52" s="195">
        <v>22</v>
      </c>
      <c r="J52" s="195">
        <v>69</v>
      </c>
      <c r="K52" s="195">
        <v>10</v>
      </c>
      <c r="L52" s="195">
        <v>0</v>
      </c>
      <c r="M52" s="195">
        <v>0</v>
      </c>
      <c r="N52" s="195">
        <v>0</v>
      </c>
      <c r="O52" s="195">
        <v>0</v>
      </c>
      <c r="P52" s="357">
        <v>4161</v>
      </c>
      <c r="Q52" s="195">
        <v>3</v>
      </c>
      <c r="R52" s="195">
        <v>3924</v>
      </c>
      <c r="S52" s="195">
        <v>7</v>
      </c>
      <c r="T52" s="195">
        <v>25</v>
      </c>
      <c r="U52" s="195">
        <v>2</v>
      </c>
      <c r="V52" s="352">
        <f>+X52+Z52</f>
        <v>14835</v>
      </c>
      <c r="W52" s="352">
        <f>+Y52+AA52</f>
        <v>14</v>
      </c>
      <c r="X52" s="352">
        <v>13664</v>
      </c>
      <c r="Y52" s="352">
        <v>10</v>
      </c>
      <c r="Z52" s="352">
        <v>1171</v>
      </c>
      <c r="AA52" s="352">
        <v>4</v>
      </c>
      <c r="AB52" s="352">
        <f t="shared" si="25"/>
        <v>3604</v>
      </c>
      <c r="AC52" s="352">
        <f t="shared" si="25"/>
        <v>31</v>
      </c>
      <c r="AD52" s="358">
        <v>3503</v>
      </c>
      <c r="AE52" s="358">
        <v>27</v>
      </c>
      <c r="AF52" s="358">
        <v>101</v>
      </c>
      <c r="AG52" s="358">
        <v>4</v>
      </c>
      <c r="AH52" s="359"/>
    </row>
    <row r="53" spans="1:34" s="360" customFormat="1" ht="15.75" customHeight="1">
      <c r="A53" s="355" t="s">
        <v>228</v>
      </c>
      <c r="B53" s="356">
        <f>D53+V53+AB53</f>
        <v>35506</v>
      </c>
      <c r="C53" s="352">
        <f>E53+W53+AC53</f>
        <v>103</v>
      </c>
      <c r="D53" s="356">
        <f>F53+H53+J53+N53+P53+L53+R53+T53</f>
        <v>8740</v>
      </c>
      <c r="E53" s="352">
        <f>G53+I53+K53+O53+Q53+M53+S53+U53</f>
        <v>43</v>
      </c>
      <c r="F53" s="195">
        <v>741</v>
      </c>
      <c r="G53" s="195">
        <v>1</v>
      </c>
      <c r="H53" s="195">
        <v>563</v>
      </c>
      <c r="I53" s="195">
        <v>15</v>
      </c>
      <c r="J53" s="195">
        <v>643</v>
      </c>
      <c r="K53" s="195">
        <v>7</v>
      </c>
      <c r="L53" s="195">
        <v>0</v>
      </c>
      <c r="M53" s="195">
        <v>0</v>
      </c>
      <c r="N53" s="195">
        <v>0</v>
      </c>
      <c r="O53" s="195">
        <v>0</v>
      </c>
      <c r="P53" s="357">
        <v>4067</v>
      </c>
      <c r="Q53" s="195">
        <v>2</v>
      </c>
      <c r="R53" s="195">
        <v>2605</v>
      </c>
      <c r="S53" s="195">
        <v>15</v>
      </c>
      <c r="T53" s="195">
        <v>121</v>
      </c>
      <c r="U53" s="195">
        <v>3</v>
      </c>
      <c r="V53" s="352">
        <f>+X53+Z53</f>
        <v>23405</v>
      </c>
      <c r="W53" s="352">
        <f>+Y53+AA53</f>
        <v>33</v>
      </c>
      <c r="X53" s="352">
        <v>19755</v>
      </c>
      <c r="Y53" s="352">
        <v>18</v>
      </c>
      <c r="Z53" s="352">
        <v>3650</v>
      </c>
      <c r="AA53" s="352">
        <v>15</v>
      </c>
      <c r="AB53" s="352">
        <f aca="true" t="shared" si="26" ref="AB53:AC56">AD53+AF53</f>
        <v>3361</v>
      </c>
      <c r="AC53" s="352">
        <f t="shared" si="26"/>
        <v>27</v>
      </c>
      <c r="AD53" s="358">
        <v>3361</v>
      </c>
      <c r="AE53" s="358">
        <v>27</v>
      </c>
      <c r="AF53" s="358">
        <v>0</v>
      </c>
      <c r="AG53" s="358">
        <v>0</v>
      </c>
      <c r="AH53" s="359"/>
    </row>
    <row r="54" spans="1:34" s="360" customFormat="1" ht="15.75" customHeight="1">
      <c r="A54" s="355" t="s">
        <v>230</v>
      </c>
      <c r="B54" s="356">
        <f aca="true" t="shared" si="27" ref="B54:C57">D54+V54+AB54</f>
        <v>38806</v>
      </c>
      <c r="C54" s="352">
        <f t="shared" si="27"/>
        <v>122</v>
      </c>
      <c r="D54" s="356">
        <f aca="true" t="shared" si="28" ref="D54:E57">F54+H54+J54+N54+P54+L54+R54+T54</f>
        <v>11608</v>
      </c>
      <c r="E54" s="352">
        <f t="shared" si="28"/>
        <v>54</v>
      </c>
      <c r="F54" s="195">
        <v>1412</v>
      </c>
      <c r="G54" s="195">
        <v>1</v>
      </c>
      <c r="H54" s="195">
        <v>816</v>
      </c>
      <c r="I54" s="195">
        <v>31</v>
      </c>
      <c r="J54" s="195">
        <v>243</v>
      </c>
      <c r="K54" s="195">
        <v>5</v>
      </c>
      <c r="L54" s="195">
        <v>0</v>
      </c>
      <c r="M54" s="195">
        <v>0</v>
      </c>
      <c r="N54" s="195">
        <v>414</v>
      </c>
      <c r="O54" s="195">
        <v>2</v>
      </c>
      <c r="P54" s="357">
        <v>6406</v>
      </c>
      <c r="Q54" s="195">
        <v>5</v>
      </c>
      <c r="R54" s="195">
        <v>2237</v>
      </c>
      <c r="S54" s="195">
        <v>8</v>
      </c>
      <c r="T54" s="195">
        <v>80</v>
      </c>
      <c r="U54" s="195">
        <v>2</v>
      </c>
      <c r="V54" s="352">
        <f aca="true" t="shared" si="29" ref="V54:W57">+X54+Z54</f>
        <v>21842</v>
      </c>
      <c r="W54" s="352">
        <f t="shared" si="29"/>
        <v>29</v>
      </c>
      <c r="X54" s="352">
        <v>19402</v>
      </c>
      <c r="Y54" s="352">
        <v>18</v>
      </c>
      <c r="Z54" s="352">
        <v>2440</v>
      </c>
      <c r="AA54" s="352">
        <v>11</v>
      </c>
      <c r="AB54" s="352">
        <f t="shared" si="26"/>
        <v>5356</v>
      </c>
      <c r="AC54" s="352">
        <f t="shared" si="26"/>
        <v>39</v>
      </c>
      <c r="AD54" s="358">
        <v>4615</v>
      </c>
      <c r="AE54" s="358">
        <v>31</v>
      </c>
      <c r="AF54" s="358">
        <v>741</v>
      </c>
      <c r="AG54" s="358">
        <v>8</v>
      </c>
      <c r="AH54" s="359"/>
    </row>
    <row r="55" spans="1:34" s="360" customFormat="1" ht="15.75" customHeight="1">
      <c r="A55" s="355" t="s">
        <v>231</v>
      </c>
      <c r="B55" s="356">
        <f t="shared" si="27"/>
        <v>10718179</v>
      </c>
      <c r="C55" s="352">
        <f t="shared" si="27"/>
        <v>99423</v>
      </c>
      <c r="D55" s="356">
        <f t="shared" si="28"/>
        <v>10508222</v>
      </c>
      <c r="E55" s="352">
        <f t="shared" si="28"/>
        <v>98397</v>
      </c>
      <c r="F55" s="195">
        <v>0</v>
      </c>
      <c r="G55" s="195">
        <v>0</v>
      </c>
      <c r="H55" s="195">
        <v>10059847</v>
      </c>
      <c r="I55" s="195">
        <v>85885</v>
      </c>
      <c r="J55" s="195">
        <v>297</v>
      </c>
      <c r="K55" s="195">
        <v>8</v>
      </c>
      <c r="L55" s="195">
        <v>643</v>
      </c>
      <c r="M55" s="195">
        <v>8</v>
      </c>
      <c r="N55" s="195">
        <v>339097</v>
      </c>
      <c r="O55" s="195">
        <v>9363</v>
      </c>
      <c r="P55" s="357">
        <v>2822</v>
      </c>
      <c r="Q55" s="195">
        <v>2</v>
      </c>
      <c r="R55" s="195">
        <v>4647</v>
      </c>
      <c r="S55" s="195">
        <v>12</v>
      </c>
      <c r="T55" s="195">
        <v>100869</v>
      </c>
      <c r="U55" s="195">
        <v>3119</v>
      </c>
      <c r="V55" s="352">
        <f t="shared" si="29"/>
        <v>204428</v>
      </c>
      <c r="W55" s="352">
        <f t="shared" si="29"/>
        <v>980</v>
      </c>
      <c r="X55" s="352">
        <v>11675</v>
      </c>
      <c r="Y55" s="352">
        <v>12</v>
      </c>
      <c r="Z55" s="352">
        <v>192753</v>
      </c>
      <c r="AA55" s="352">
        <v>968</v>
      </c>
      <c r="AB55" s="352">
        <f t="shared" si="26"/>
        <v>5529</v>
      </c>
      <c r="AC55" s="352">
        <f t="shared" si="26"/>
        <v>46</v>
      </c>
      <c r="AD55" s="358">
        <v>5293</v>
      </c>
      <c r="AE55" s="358">
        <v>44</v>
      </c>
      <c r="AF55" s="358">
        <v>236</v>
      </c>
      <c r="AG55" s="358">
        <v>2</v>
      </c>
      <c r="AH55" s="359"/>
    </row>
    <row r="56" spans="1:34" s="360" customFormat="1" ht="15.75" customHeight="1">
      <c r="A56" s="355" t="s">
        <v>233</v>
      </c>
      <c r="B56" s="356">
        <f t="shared" si="27"/>
        <v>890786</v>
      </c>
      <c r="C56" s="352">
        <f t="shared" si="27"/>
        <v>4869</v>
      </c>
      <c r="D56" s="356">
        <f t="shared" si="28"/>
        <v>855113</v>
      </c>
      <c r="E56" s="352">
        <f t="shared" si="28"/>
        <v>4662</v>
      </c>
      <c r="F56" s="195">
        <v>101557</v>
      </c>
      <c r="G56" s="195">
        <v>57</v>
      </c>
      <c r="H56" s="195">
        <v>644944</v>
      </c>
      <c r="I56" s="195">
        <v>3646</v>
      </c>
      <c r="J56" s="195">
        <v>79704</v>
      </c>
      <c r="K56" s="195">
        <v>876</v>
      </c>
      <c r="L56" s="195">
        <v>0</v>
      </c>
      <c r="M56" s="195">
        <v>0</v>
      </c>
      <c r="N56" s="195">
        <v>19219</v>
      </c>
      <c r="O56" s="195">
        <v>35</v>
      </c>
      <c r="P56" s="357">
        <v>7774</v>
      </c>
      <c r="Q56" s="195">
        <v>5</v>
      </c>
      <c r="R56" s="195">
        <v>1015</v>
      </c>
      <c r="S56" s="195">
        <v>9</v>
      </c>
      <c r="T56" s="195">
        <v>900</v>
      </c>
      <c r="U56" s="195">
        <v>34</v>
      </c>
      <c r="V56" s="352">
        <f t="shared" si="29"/>
        <v>17356</v>
      </c>
      <c r="W56" s="352">
        <f t="shared" si="29"/>
        <v>32</v>
      </c>
      <c r="X56" s="352">
        <v>14798</v>
      </c>
      <c r="Y56" s="352">
        <v>15</v>
      </c>
      <c r="Z56" s="352">
        <v>2558</v>
      </c>
      <c r="AA56" s="352">
        <v>17</v>
      </c>
      <c r="AB56" s="352">
        <f t="shared" si="26"/>
        <v>18317</v>
      </c>
      <c r="AC56" s="352">
        <f t="shared" si="26"/>
        <v>175</v>
      </c>
      <c r="AD56" s="358">
        <v>12663</v>
      </c>
      <c r="AE56" s="358">
        <v>91</v>
      </c>
      <c r="AF56" s="358">
        <v>5654</v>
      </c>
      <c r="AG56" s="358">
        <v>84</v>
      </c>
      <c r="AH56" s="359"/>
    </row>
    <row r="57" spans="1:34" s="360" customFormat="1" ht="15.75" customHeight="1">
      <c r="A57" s="355" t="s">
        <v>236</v>
      </c>
      <c r="B57" s="356">
        <f t="shared" si="27"/>
        <v>45136</v>
      </c>
      <c r="C57" s="352">
        <f t="shared" si="27"/>
        <v>256</v>
      </c>
      <c r="D57" s="356">
        <f t="shared" si="28"/>
        <v>15899</v>
      </c>
      <c r="E57" s="352">
        <f t="shared" si="28"/>
        <v>154</v>
      </c>
      <c r="F57" s="195">
        <v>2778</v>
      </c>
      <c r="G57" s="195">
        <v>1</v>
      </c>
      <c r="H57" s="195">
        <v>4150</v>
      </c>
      <c r="I57" s="195">
        <v>78</v>
      </c>
      <c r="J57" s="195">
        <v>1040</v>
      </c>
      <c r="K57" s="195">
        <v>30</v>
      </c>
      <c r="L57" s="195">
        <v>0</v>
      </c>
      <c r="M57" s="195">
        <v>0</v>
      </c>
      <c r="N57" s="376">
        <v>-18</v>
      </c>
      <c r="O57" s="195">
        <v>6</v>
      </c>
      <c r="P57" s="357">
        <v>2401</v>
      </c>
      <c r="Q57" s="195">
        <v>3</v>
      </c>
      <c r="R57" s="195">
        <v>4675</v>
      </c>
      <c r="S57" s="195">
        <v>8</v>
      </c>
      <c r="T57" s="195">
        <v>873</v>
      </c>
      <c r="U57" s="195">
        <v>28</v>
      </c>
      <c r="V57" s="352">
        <f t="shared" si="29"/>
        <v>18818</v>
      </c>
      <c r="W57" s="352">
        <f t="shared" si="29"/>
        <v>23</v>
      </c>
      <c r="X57" s="352">
        <v>17370</v>
      </c>
      <c r="Y57" s="352">
        <v>13</v>
      </c>
      <c r="Z57" s="352">
        <v>1448</v>
      </c>
      <c r="AA57" s="352">
        <v>10</v>
      </c>
      <c r="AB57" s="352">
        <f aca="true" t="shared" si="30" ref="AB57:AC61">AD57+AF57</f>
        <v>10419</v>
      </c>
      <c r="AC57" s="352">
        <f t="shared" si="30"/>
        <v>79</v>
      </c>
      <c r="AD57" s="358">
        <v>10419</v>
      </c>
      <c r="AE57" s="358">
        <v>79</v>
      </c>
      <c r="AF57" s="358">
        <v>0</v>
      </c>
      <c r="AG57" s="358">
        <v>0</v>
      </c>
      <c r="AH57" s="359"/>
    </row>
    <row r="58" spans="1:34" s="360" customFormat="1" ht="15.75" customHeight="1">
      <c r="A58" s="355" t="s">
        <v>238</v>
      </c>
      <c r="B58" s="356">
        <f aca="true" t="shared" si="31" ref="B58:C60">D58+V58+AB58</f>
        <v>24221</v>
      </c>
      <c r="C58" s="352">
        <f t="shared" si="31"/>
        <v>174</v>
      </c>
      <c r="D58" s="356">
        <f aca="true" t="shared" si="32" ref="D58:E60">F58+H58+J58+N58+P58+L58+R58+T58</f>
        <v>10724</v>
      </c>
      <c r="E58" s="352">
        <f t="shared" si="32"/>
        <v>128</v>
      </c>
      <c r="F58" s="195">
        <v>2857</v>
      </c>
      <c r="G58" s="195">
        <v>1</v>
      </c>
      <c r="H58" s="195">
        <v>2618</v>
      </c>
      <c r="I58" s="195">
        <v>71</v>
      </c>
      <c r="J58" s="195">
        <v>722</v>
      </c>
      <c r="K58" s="195">
        <v>41</v>
      </c>
      <c r="L58" s="195">
        <v>0</v>
      </c>
      <c r="M58" s="195">
        <v>0</v>
      </c>
      <c r="N58" s="195">
        <v>0</v>
      </c>
      <c r="O58" s="195">
        <v>0</v>
      </c>
      <c r="P58" s="357">
        <v>3327</v>
      </c>
      <c r="Q58" s="195">
        <v>2</v>
      </c>
      <c r="R58" s="195">
        <v>1111</v>
      </c>
      <c r="S58" s="195">
        <v>8</v>
      </c>
      <c r="T58" s="195">
        <v>89</v>
      </c>
      <c r="U58" s="195">
        <v>5</v>
      </c>
      <c r="V58" s="352">
        <f aca="true" t="shared" si="33" ref="V58:W60">+X58+Z58</f>
        <v>10203</v>
      </c>
      <c r="W58" s="352">
        <f t="shared" si="33"/>
        <v>21</v>
      </c>
      <c r="X58" s="352">
        <v>8309</v>
      </c>
      <c r="Y58" s="352">
        <v>6</v>
      </c>
      <c r="Z58" s="352">
        <v>1894</v>
      </c>
      <c r="AA58" s="352">
        <v>15</v>
      </c>
      <c r="AB58" s="352">
        <f>AD58+AF58</f>
        <v>3294</v>
      </c>
      <c r="AC58" s="352">
        <f>AE58+AG58</f>
        <v>25</v>
      </c>
      <c r="AD58" s="358">
        <v>3294</v>
      </c>
      <c r="AE58" s="358">
        <v>25</v>
      </c>
      <c r="AF58" s="358">
        <v>0</v>
      </c>
      <c r="AG58" s="358">
        <v>0</v>
      </c>
      <c r="AH58" s="359"/>
    </row>
    <row r="59" spans="1:34" s="360" customFormat="1" ht="15.75" customHeight="1">
      <c r="A59" s="355" t="s">
        <v>239</v>
      </c>
      <c r="B59" s="356">
        <f t="shared" si="31"/>
        <v>18537</v>
      </c>
      <c r="C59" s="352">
        <f t="shared" si="31"/>
        <v>177</v>
      </c>
      <c r="D59" s="356">
        <f t="shared" si="32"/>
        <v>7730</v>
      </c>
      <c r="E59" s="352">
        <f t="shared" si="32"/>
        <v>138</v>
      </c>
      <c r="F59" s="195">
        <v>1103</v>
      </c>
      <c r="G59" s="195">
        <v>1</v>
      </c>
      <c r="H59" s="195">
        <v>715</v>
      </c>
      <c r="I59" s="195">
        <v>71</v>
      </c>
      <c r="J59" s="195">
        <v>712</v>
      </c>
      <c r="K59" s="195">
        <v>45</v>
      </c>
      <c r="L59" s="195">
        <v>0</v>
      </c>
      <c r="M59" s="195">
        <v>0</v>
      </c>
      <c r="N59" s="195">
        <v>0</v>
      </c>
      <c r="O59" s="195">
        <v>0</v>
      </c>
      <c r="P59" s="357">
        <v>1194</v>
      </c>
      <c r="Q59" s="195">
        <v>1</v>
      </c>
      <c r="R59" s="195">
        <v>4004</v>
      </c>
      <c r="S59" s="195">
        <v>18</v>
      </c>
      <c r="T59" s="195">
        <v>2</v>
      </c>
      <c r="U59" s="195">
        <v>2</v>
      </c>
      <c r="V59" s="352">
        <f t="shared" si="33"/>
        <v>7314</v>
      </c>
      <c r="W59" s="352">
        <f t="shared" si="33"/>
        <v>10</v>
      </c>
      <c r="X59" s="352">
        <v>7009</v>
      </c>
      <c r="Y59" s="352">
        <v>5</v>
      </c>
      <c r="Z59" s="352">
        <v>305</v>
      </c>
      <c r="AA59" s="352">
        <v>5</v>
      </c>
      <c r="AB59" s="352">
        <f>AD59+AF59</f>
        <v>3493</v>
      </c>
      <c r="AC59" s="352">
        <f>AE59+AG59</f>
        <v>29</v>
      </c>
      <c r="AD59" s="358">
        <v>3338</v>
      </c>
      <c r="AE59" s="358">
        <v>27</v>
      </c>
      <c r="AF59" s="358">
        <v>155</v>
      </c>
      <c r="AG59" s="358">
        <v>2</v>
      </c>
      <c r="AH59" s="359"/>
    </row>
    <row r="60" spans="1:34" s="360" customFormat="1" ht="15.75" customHeight="1">
      <c r="A60" s="355" t="s">
        <v>243</v>
      </c>
      <c r="B60" s="356">
        <f t="shared" si="31"/>
        <v>22268</v>
      </c>
      <c r="C60" s="352">
        <f t="shared" si="31"/>
        <v>153</v>
      </c>
      <c r="D60" s="356">
        <f t="shared" si="32"/>
        <v>8769</v>
      </c>
      <c r="E60" s="352">
        <f t="shared" si="32"/>
        <v>109</v>
      </c>
      <c r="F60" s="195">
        <v>106</v>
      </c>
      <c r="G60" s="195">
        <v>1</v>
      </c>
      <c r="H60" s="195">
        <v>749</v>
      </c>
      <c r="I60" s="195">
        <v>61</v>
      </c>
      <c r="J60" s="195">
        <v>508</v>
      </c>
      <c r="K60" s="195">
        <v>22</v>
      </c>
      <c r="L60" s="195">
        <v>0</v>
      </c>
      <c r="M60" s="195">
        <v>0</v>
      </c>
      <c r="N60" s="195">
        <v>-6</v>
      </c>
      <c r="O60" s="195">
        <v>1</v>
      </c>
      <c r="P60" s="357">
        <v>2629</v>
      </c>
      <c r="Q60" s="195">
        <v>2</v>
      </c>
      <c r="R60" s="195">
        <v>4790</v>
      </c>
      <c r="S60" s="195">
        <v>10</v>
      </c>
      <c r="T60" s="195">
        <v>-7</v>
      </c>
      <c r="U60" s="195">
        <v>12</v>
      </c>
      <c r="V60" s="352">
        <f t="shared" si="33"/>
        <v>10745</v>
      </c>
      <c r="W60" s="352">
        <f t="shared" si="33"/>
        <v>14</v>
      </c>
      <c r="X60" s="352">
        <v>10233</v>
      </c>
      <c r="Y60" s="352">
        <v>8</v>
      </c>
      <c r="Z60" s="352">
        <v>512</v>
      </c>
      <c r="AA60" s="352">
        <v>6</v>
      </c>
      <c r="AB60" s="352">
        <f t="shared" si="30"/>
        <v>2754</v>
      </c>
      <c r="AC60" s="352">
        <f t="shared" si="30"/>
        <v>30</v>
      </c>
      <c r="AD60" s="358">
        <v>2573</v>
      </c>
      <c r="AE60" s="358">
        <v>26</v>
      </c>
      <c r="AF60" s="358">
        <v>181</v>
      </c>
      <c r="AG60" s="358">
        <v>4</v>
      </c>
      <c r="AH60" s="359"/>
    </row>
    <row r="61" spans="1:34" s="184" customFormat="1" ht="15.75" customHeight="1">
      <c r="A61" s="158" t="s">
        <v>10</v>
      </c>
      <c r="B61" s="73"/>
      <c r="C61" s="73"/>
      <c r="D61" s="263">
        <f>F61+H61+J61+L61+N61+P61+R61+T61</f>
        <v>100</v>
      </c>
      <c r="E61" s="263">
        <f>G61+I61+K61+M61+O61+Q61+S61+U61</f>
        <v>100.00000000000001</v>
      </c>
      <c r="F61" s="73">
        <f>ROUND(F60/$D60*100,2)</f>
        <v>1.21</v>
      </c>
      <c r="G61" s="73">
        <f>ROUND(G60/$E60*100,2)</f>
        <v>0.92</v>
      </c>
      <c r="H61" s="73">
        <f>ROUND(H60/$D60*100,2)</f>
        <v>8.54</v>
      </c>
      <c r="I61" s="73">
        <f>ROUND(I60/$E60*100,2)</f>
        <v>55.96</v>
      </c>
      <c r="J61" s="73">
        <f>ROUND(J60/$D60*100,2)</f>
        <v>5.79</v>
      </c>
      <c r="K61" s="73">
        <f>ROUND(K60/$E60*100,2)</f>
        <v>20.18</v>
      </c>
      <c r="L61" s="73">
        <f>ROUND(L60/$D60*100,2)</f>
        <v>0</v>
      </c>
      <c r="M61" s="73">
        <f>ROUND(M60/$E60*100,2)</f>
        <v>0</v>
      </c>
      <c r="N61" s="73">
        <f>ROUND(N60/$D60*100,2)</f>
        <v>-0.07</v>
      </c>
      <c r="O61" s="73">
        <f>ROUND(O60/$E60*100,2)</f>
        <v>0.92</v>
      </c>
      <c r="P61" s="73">
        <f>ROUND(P60/$D60*100,2)</f>
        <v>29.98</v>
      </c>
      <c r="Q61" s="378">
        <f>ROUND(Q60/$E60*100,2)+0.01</f>
        <v>1.84</v>
      </c>
      <c r="R61" s="378">
        <f>ROUND(R60/$D60*100,2)+0.01</f>
        <v>54.629999999999995</v>
      </c>
      <c r="S61" s="73">
        <f>ROUND(S60/$E60*100,2)</f>
        <v>9.17</v>
      </c>
      <c r="T61" s="73">
        <f>ROUND(T60/$D60*100,2)</f>
        <v>-0.08</v>
      </c>
      <c r="U61" s="73">
        <f>ROUND(U60/$E60*100,2)</f>
        <v>11.01</v>
      </c>
      <c r="V61" s="73">
        <f>X61+Z61</f>
        <v>100</v>
      </c>
      <c r="W61" s="73">
        <f>Y61+AA61</f>
        <v>100</v>
      </c>
      <c r="X61" s="73">
        <f>ROUND(X60/$V$60*100,2)</f>
        <v>95.23</v>
      </c>
      <c r="Y61" s="73">
        <f>ROUND(Y60/$W$60*100,2)</f>
        <v>57.14</v>
      </c>
      <c r="Z61" s="73">
        <f>ROUND(Z60/$V$60*100,2)</f>
        <v>4.77</v>
      </c>
      <c r="AA61" s="73">
        <f>ROUND(AA60/$W$60*100,2)</f>
        <v>42.86</v>
      </c>
      <c r="AB61" s="73">
        <f t="shared" si="30"/>
        <v>100</v>
      </c>
      <c r="AC61" s="73">
        <f t="shared" si="30"/>
        <v>100</v>
      </c>
      <c r="AD61" s="73">
        <f>ROUND(AD60/$AB$60*100,2)</f>
        <v>93.43</v>
      </c>
      <c r="AE61" s="73">
        <f>ROUND(AE60/$AC$60*100,2)</f>
        <v>86.67</v>
      </c>
      <c r="AF61" s="73">
        <f>ROUND(AF60/$AB$60*100,2)</f>
        <v>6.57</v>
      </c>
      <c r="AG61" s="73">
        <f>ROUND(AG60/$AC$60*100,2)</f>
        <v>13.33</v>
      </c>
      <c r="AH61" s="74"/>
    </row>
    <row r="62" spans="1:34" s="52" customFormat="1" ht="15.75" customHeight="1">
      <c r="A62" s="91" t="s">
        <v>89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3"/>
      <c r="AF62" s="63"/>
      <c r="AG62" s="176"/>
      <c r="AH62" s="62"/>
    </row>
    <row r="63" spans="1:44" s="52" customFormat="1" ht="15.75" customHeight="1">
      <c r="A63" s="92" t="s">
        <v>71</v>
      </c>
      <c r="B63" s="50"/>
      <c r="C63" s="50"/>
      <c r="D63" s="50"/>
      <c r="E63" s="50"/>
      <c r="F63" s="50"/>
      <c r="G63" s="50"/>
      <c r="R63" s="69"/>
      <c r="S63" s="69"/>
      <c r="AH63" s="93"/>
      <c r="AI63" s="93"/>
      <c r="AL63" s="63"/>
      <c r="AM63" s="63"/>
      <c r="AN63" s="63"/>
      <c r="AO63" s="63"/>
      <c r="AP63" s="63"/>
      <c r="AQ63" s="63"/>
      <c r="AR63" s="50"/>
    </row>
    <row r="64" spans="1:34" ht="16.5">
      <c r="A64" s="92" t="s">
        <v>72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13"/>
    </row>
  </sheetData>
  <sheetProtection/>
  <mergeCells count="8">
    <mergeCell ref="B3:C4"/>
    <mergeCell ref="AB3:AG3"/>
    <mergeCell ref="N4:O4"/>
    <mergeCell ref="AD4:AE4"/>
    <mergeCell ref="AF4:AG4"/>
    <mergeCell ref="D3:Q3"/>
    <mergeCell ref="R3:U3"/>
    <mergeCell ref="V3:AA3"/>
  </mergeCells>
  <printOptions horizontalCentered="1" verticalCentered="1"/>
  <pageMargins left="1.03" right="0.35433070866141736" top="0.35433070866141736" bottom="0.27" header="0.5118110236220472" footer="0.18"/>
  <pageSetup horizontalDpi="600" verticalDpi="600" orientation="landscape" paperSize="9" scale="95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業務組</dc:creator>
  <cp:keywords/>
  <dc:description/>
  <cp:lastModifiedBy>mable</cp:lastModifiedBy>
  <cp:lastPrinted>2015-01-21T09:20:00Z</cp:lastPrinted>
  <dcterms:created xsi:type="dcterms:W3CDTF">1997-08-07T07:20:16Z</dcterms:created>
  <dcterms:modified xsi:type="dcterms:W3CDTF">2015-03-23T02:40:31Z</dcterms:modified>
  <cp:category/>
  <cp:version/>
  <cp:contentType/>
  <cp:contentStatus/>
</cp:coreProperties>
</file>